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 sheetId="4" r:id="rId1"/>
    <sheet name="المتغيرات" sheetId="3" r:id="rId2"/>
    <sheet name="Insurance Financials Search Rep" sheetId="2" r:id="rId3"/>
  </sheets>
  <calcPr calcId="162913"/>
</workbook>
</file>

<file path=xl/calcChain.xml><?xml version="1.0" encoding="utf-8"?>
<calcChain xmlns="http://schemas.openxmlformats.org/spreadsheetml/2006/main">
  <c r="B180" i="2" l="1"/>
  <c r="B179" i="2"/>
  <c r="B178" i="2"/>
  <c r="B177" i="2"/>
  <c r="B176" i="2"/>
  <c r="B175" i="2"/>
  <c r="B174" i="2"/>
  <c r="B173" i="2"/>
  <c r="B172" i="2"/>
  <c r="B171" i="2"/>
  <c r="B170" i="2"/>
  <c r="B169" i="2"/>
  <c r="B168" i="2"/>
  <c r="B167" i="2"/>
  <c r="B166" i="2"/>
  <c r="B165" i="2"/>
  <c r="B164" i="2"/>
  <c r="E160" i="2"/>
  <c r="D160" i="2"/>
  <c r="C160" i="2"/>
  <c r="B160" i="2"/>
  <c r="E159" i="2"/>
  <c r="D159" i="2"/>
  <c r="C159" i="2"/>
  <c r="B159" i="2"/>
  <c r="E158" i="2"/>
  <c r="D158" i="2"/>
  <c r="C158" i="2"/>
  <c r="B158" i="2"/>
  <c r="E157" i="2"/>
  <c r="D157" i="2"/>
  <c r="C157" i="2"/>
  <c r="B157" i="2"/>
  <c r="E156" i="2"/>
  <c r="D156" i="2"/>
  <c r="C156" i="2"/>
  <c r="B156" i="2"/>
  <c r="E155" i="2"/>
  <c r="D155" i="2"/>
  <c r="C155" i="2"/>
  <c r="B155" i="2"/>
  <c r="E154" i="2"/>
  <c r="D154" i="2"/>
  <c r="C154" i="2"/>
  <c r="B154" i="2"/>
  <c r="E153" i="2"/>
  <c r="D153" i="2"/>
  <c r="C153" i="2"/>
  <c r="B153" i="2"/>
  <c r="E152" i="2"/>
  <c r="D152" i="2"/>
  <c r="C152" i="2"/>
  <c r="B152" i="2"/>
  <c r="E151" i="2"/>
  <c r="D151" i="2"/>
  <c r="C151" i="2"/>
  <c r="B151" i="2"/>
  <c r="E150" i="2"/>
  <c r="D150" i="2"/>
  <c r="C150" i="2"/>
  <c r="B150" i="2"/>
  <c r="E149" i="2"/>
  <c r="D149" i="2"/>
  <c r="C149" i="2"/>
  <c r="B149" i="2"/>
  <c r="E148" i="2"/>
  <c r="D148" i="2"/>
  <c r="C148" i="2"/>
  <c r="B148" i="2"/>
  <c r="E147" i="2"/>
  <c r="D147" i="2"/>
  <c r="C147" i="2"/>
  <c r="B147" i="2"/>
  <c r="E146" i="2"/>
  <c r="D146" i="2"/>
  <c r="C146" i="2"/>
  <c r="B146" i="2"/>
  <c r="E145" i="2"/>
  <c r="D145" i="2"/>
  <c r="C145" i="2"/>
  <c r="B145" i="2"/>
  <c r="E144" i="2"/>
  <c r="D144" i="2"/>
  <c r="C144" i="2"/>
  <c r="B144" i="2"/>
  <c r="E140" i="2"/>
  <c r="D140" i="2"/>
  <c r="C140" i="2"/>
  <c r="B140" i="2"/>
  <c r="E139" i="2"/>
  <c r="D139" i="2"/>
  <c r="C139" i="2"/>
  <c r="B139" i="2"/>
  <c r="E138" i="2"/>
  <c r="D138" i="2"/>
  <c r="C138" i="2"/>
  <c r="B138" i="2"/>
  <c r="E137" i="2"/>
  <c r="D137" i="2"/>
  <c r="C137" i="2"/>
  <c r="B137" i="2"/>
  <c r="E136" i="2"/>
  <c r="D136" i="2"/>
  <c r="C136" i="2"/>
  <c r="B136" i="2"/>
  <c r="E135" i="2"/>
  <c r="D135" i="2"/>
  <c r="C135" i="2"/>
  <c r="B135" i="2"/>
  <c r="E134" i="2"/>
  <c r="D134" i="2"/>
  <c r="C134" i="2"/>
  <c r="B134" i="2"/>
  <c r="E133" i="2"/>
  <c r="D133" i="2"/>
  <c r="C133" i="2"/>
  <c r="B133" i="2"/>
  <c r="E132" i="2"/>
  <c r="D132" i="2"/>
  <c r="C132" i="2"/>
  <c r="B132" i="2"/>
  <c r="E131" i="2"/>
  <c r="D131" i="2"/>
  <c r="C131" i="2"/>
  <c r="B131" i="2"/>
  <c r="E130" i="2"/>
  <c r="D130" i="2"/>
  <c r="C130" i="2"/>
  <c r="B130" i="2"/>
  <c r="E129" i="2"/>
  <c r="D129" i="2"/>
  <c r="C129" i="2"/>
  <c r="B129" i="2"/>
  <c r="E128" i="2"/>
  <c r="D128" i="2"/>
  <c r="C128" i="2"/>
  <c r="B128" i="2"/>
  <c r="E127" i="2"/>
  <c r="D127" i="2"/>
  <c r="C127" i="2"/>
  <c r="B127" i="2"/>
  <c r="E126" i="2"/>
  <c r="D126" i="2"/>
  <c r="C126" i="2"/>
  <c r="B126" i="2"/>
  <c r="E125" i="2"/>
  <c r="D125" i="2"/>
  <c r="C125" i="2"/>
  <c r="B125" i="2"/>
  <c r="E124" i="2"/>
  <c r="D124" i="2"/>
  <c r="C124" i="2"/>
  <c r="B124" i="2"/>
  <c r="E120" i="2"/>
  <c r="D120" i="2"/>
  <c r="C120" i="2"/>
  <c r="B120" i="2"/>
  <c r="E119" i="2"/>
  <c r="D119" i="2"/>
  <c r="C119" i="2"/>
  <c r="B119" i="2"/>
  <c r="E118" i="2"/>
  <c r="D118" i="2"/>
  <c r="C118" i="2"/>
  <c r="B118" i="2"/>
  <c r="E117" i="2"/>
  <c r="D117" i="2"/>
  <c r="C117" i="2"/>
  <c r="B117" i="2"/>
  <c r="E116" i="2"/>
  <c r="D116" i="2"/>
  <c r="C116" i="2"/>
  <c r="B116" i="2"/>
  <c r="E115" i="2"/>
  <c r="D115" i="2"/>
  <c r="C115" i="2"/>
  <c r="B115" i="2"/>
  <c r="E114" i="2"/>
  <c r="D114" i="2"/>
  <c r="C114" i="2"/>
  <c r="B114" i="2"/>
  <c r="E113" i="2"/>
  <c r="D113" i="2"/>
  <c r="C113" i="2"/>
  <c r="B113" i="2"/>
  <c r="E112" i="2"/>
  <c r="D112" i="2"/>
  <c r="C112" i="2"/>
  <c r="B112" i="2"/>
  <c r="E111" i="2"/>
  <c r="D111" i="2"/>
  <c r="C111" i="2"/>
  <c r="B111" i="2"/>
  <c r="E110" i="2"/>
  <c r="D110" i="2"/>
  <c r="C110" i="2"/>
  <c r="B110" i="2"/>
  <c r="E109" i="2"/>
  <c r="D109" i="2"/>
  <c r="C109" i="2"/>
  <c r="B109" i="2"/>
  <c r="E108" i="2"/>
  <c r="D108" i="2"/>
  <c r="C108" i="2"/>
  <c r="B108" i="2"/>
  <c r="E107" i="2"/>
  <c r="D107" i="2"/>
  <c r="C107" i="2"/>
  <c r="B107" i="2"/>
  <c r="E106" i="2"/>
  <c r="D106" i="2"/>
  <c r="C106" i="2"/>
  <c r="B106" i="2"/>
  <c r="E105" i="2"/>
  <c r="D105" i="2"/>
  <c r="C105" i="2"/>
  <c r="B105" i="2"/>
  <c r="E104" i="2"/>
  <c r="D104" i="2"/>
  <c r="C104" i="2"/>
  <c r="B104" i="2"/>
  <c r="M100" i="2"/>
  <c r="L100" i="2"/>
  <c r="K100" i="2"/>
  <c r="J100" i="2"/>
  <c r="I100" i="2"/>
  <c r="H100" i="2"/>
  <c r="G100" i="2"/>
  <c r="F100" i="2"/>
  <c r="E100" i="2"/>
  <c r="D100" i="2"/>
  <c r="C100" i="2"/>
  <c r="B100" i="2"/>
  <c r="M99" i="2"/>
  <c r="L99" i="2"/>
  <c r="K99" i="2"/>
  <c r="J99" i="2"/>
  <c r="I99" i="2"/>
  <c r="H99" i="2"/>
  <c r="G99" i="2"/>
  <c r="F99" i="2"/>
  <c r="E99" i="2"/>
  <c r="D99" i="2"/>
  <c r="C99" i="2"/>
  <c r="B99" i="2"/>
  <c r="M98" i="2"/>
  <c r="L98" i="2"/>
  <c r="K98" i="2"/>
  <c r="J98" i="2"/>
  <c r="I98" i="2"/>
  <c r="H98" i="2"/>
  <c r="G98" i="2"/>
  <c r="F98" i="2"/>
  <c r="E98" i="2"/>
  <c r="D98" i="2"/>
  <c r="C98" i="2"/>
  <c r="B98" i="2"/>
  <c r="M97" i="2"/>
  <c r="L97" i="2"/>
  <c r="K97" i="2"/>
  <c r="J97" i="2"/>
  <c r="I97" i="2"/>
  <c r="H97" i="2"/>
  <c r="G97" i="2"/>
  <c r="F97" i="2"/>
  <c r="E97" i="2"/>
  <c r="D97" i="2"/>
  <c r="C97" i="2"/>
  <c r="B97" i="2"/>
  <c r="M96" i="2"/>
  <c r="L96" i="2"/>
  <c r="K96" i="2"/>
  <c r="J96" i="2"/>
  <c r="I96" i="2"/>
  <c r="H96" i="2"/>
  <c r="G96" i="2"/>
  <c r="F96" i="2"/>
  <c r="E96" i="2"/>
  <c r="D96" i="2"/>
  <c r="C96" i="2"/>
  <c r="B96" i="2"/>
  <c r="M95" i="2"/>
  <c r="L95" i="2"/>
  <c r="K95" i="2"/>
  <c r="J95" i="2"/>
  <c r="I95" i="2"/>
  <c r="H95" i="2"/>
  <c r="G95" i="2"/>
  <c r="F95" i="2"/>
  <c r="E95" i="2"/>
  <c r="D95" i="2"/>
  <c r="C95" i="2"/>
  <c r="B95" i="2"/>
  <c r="M94" i="2"/>
  <c r="L94" i="2"/>
  <c r="K94" i="2"/>
  <c r="J94" i="2"/>
  <c r="I94" i="2"/>
  <c r="H94" i="2"/>
  <c r="G94" i="2"/>
  <c r="F94" i="2"/>
  <c r="E94" i="2"/>
  <c r="D94" i="2"/>
  <c r="C94" i="2"/>
  <c r="B94" i="2"/>
  <c r="M93" i="2"/>
  <c r="L93" i="2"/>
  <c r="K93" i="2"/>
  <c r="J93" i="2"/>
  <c r="I93" i="2"/>
  <c r="H93" i="2"/>
  <c r="G93" i="2"/>
  <c r="F93" i="2"/>
  <c r="E93" i="2"/>
  <c r="D93" i="2"/>
  <c r="C93" i="2"/>
  <c r="B93" i="2"/>
  <c r="M92" i="2"/>
  <c r="L92" i="2"/>
  <c r="K92" i="2"/>
  <c r="J92" i="2"/>
  <c r="I92" i="2"/>
  <c r="H92" i="2"/>
  <c r="G92" i="2"/>
  <c r="F92" i="2"/>
  <c r="E92" i="2"/>
  <c r="D92" i="2"/>
  <c r="C92" i="2"/>
  <c r="B92" i="2"/>
  <c r="M91" i="2"/>
  <c r="L91" i="2"/>
  <c r="K91" i="2"/>
  <c r="J91" i="2"/>
  <c r="I91" i="2"/>
  <c r="H91" i="2"/>
  <c r="G91" i="2"/>
  <c r="F91" i="2"/>
  <c r="E91" i="2"/>
  <c r="D91" i="2"/>
  <c r="C91" i="2"/>
  <c r="B91" i="2"/>
  <c r="M90" i="2"/>
  <c r="L90" i="2"/>
  <c r="K90" i="2"/>
  <c r="J90" i="2"/>
  <c r="I90" i="2"/>
  <c r="H90" i="2"/>
  <c r="G90" i="2"/>
  <c r="F90" i="2"/>
  <c r="E90" i="2"/>
  <c r="D90" i="2"/>
  <c r="C90" i="2"/>
  <c r="B90" i="2"/>
  <c r="M89" i="2"/>
  <c r="L89" i="2"/>
  <c r="K89" i="2"/>
  <c r="J89" i="2"/>
  <c r="I89" i="2"/>
  <c r="H89" i="2"/>
  <c r="G89" i="2"/>
  <c r="F89" i="2"/>
  <c r="E89" i="2"/>
  <c r="D89" i="2"/>
  <c r="C89" i="2"/>
  <c r="B89" i="2"/>
  <c r="M88" i="2"/>
  <c r="L88" i="2"/>
  <c r="K88" i="2"/>
  <c r="J88" i="2"/>
  <c r="I88" i="2"/>
  <c r="H88" i="2"/>
  <c r="G88" i="2"/>
  <c r="F88" i="2"/>
  <c r="E88" i="2"/>
  <c r="D88" i="2"/>
  <c r="C88" i="2"/>
  <c r="B88" i="2"/>
  <c r="M87" i="2"/>
  <c r="L87" i="2"/>
  <c r="K87" i="2"/>
  <c r="J87" i="2"/>
  <c r="I87" i="2"/>
  <c r="H87" i="2"/>
  <c r="G87" i="2"/>
  <c r="F87" i="2"/>
  <c r="E87" i="2"/>
  <c r="D87" i="2"/>
  <c r="C87" i="2"/>
  <c r="B87" i="2"/>
  <c r="M86" i="2"/>
  <c r="L86" i="2"/>
  <c r="K86" i="2"/>
  <c r="J86" i="2"/>
  <c r="I86" i="2"/>
  <c r="H86" i="2"/>
  <c r="G86" i="2"/>
  <c r="F86" i="2"/>
  <c r="E86" i="2"/>
  <c r="D86" i="2"/>
  <c r="C86" i="2"/>
  <c r="B86" i="2"/>
  <c r="M85" i="2"/>
  <c r="L85" i="2"/>
  <c r="K85" i="2"/>
  <c r="J85" i="2"/>
  <c r="I85" i="2"/>
  <c r="H85" i="2"/>
  <c r="G85" i="2"/>
  <c r="F85" i="2"/>
  <c r="E85" i="2"/>
  <c r="D85" i="2"/>
  <c r="C85" i="2"/>
  <c r="B85" i="2"/>
  <c r="M84" i="2"/>
  <c r="L84" i="2"/>
  <c r="K84" i="2"/>
  <c r="J84" i="2"/>
  <c r="I84" i="2"/>
  <c r="H84" i="2"/>
  <c r="G84" i="2"/>
  <c r="F84" i="2"/>
  <c r="E84" i="2"/>
  <c r="D84" i="2"/>
  <c r="C84" i="2"/>
  <c r="B84" i="2"/>
  <c r="M80" i="2"/>
  <c r="L80" i="2"/>
  <c r="K80" i="2"/>
  <c r="J80" i="2"/>
  <c r="I80" i="2"/>
  <c r="H80" i="2"/>
  <c r="G80" i="2"/>
  <c r="F80" i="2"/>
  <c r="E80" i="2"/>
  <c r="D80" i="2"/>
  <c r="C80" i="2"/>
  <c r="B80" i="2"/>
  <c r="M79" i="2"/>
  <c r="L79" i="2"/>
  <c r="K79" i="2"/>
  <c r="J79" i="2"/>
  <c r="I79" i="2"/>
  <c r="H79" i="2"/>
  <c r="G79" i="2"/>
  <c r="F79" i="2"/>
  <c r="E79" i="2"/>
  <c r="D79" i="2"/>
  <c r="C79" i="2"/>
  <c r="B79" i="2"/>
  <c r="M78" i="2"/>
  <c r="L78" i="2"/>
  <c r="K78" i="2"/>
  <c r="J78" i="2"/>
  <c r="I78" i="2"/>
  <c r="H78" i="2"/>
  <c r="G78" i="2"/>
  <c r="F78" i="2"/>
  <c r="E78" i="2"/>
  <c r="D78" i="2"/>
  <c r="C78" i="2"/>
  <c r="B78" i="2"/>
  <c r="M77" i="2"/>
  <c r="L77" i="2"/>
  <c r="K77" i="2"/>
  <c r="J77" i="2"/>
  <c r="I77" i="2"/>
  <c r="H77" i="2"/>
  <c r="G77" i="2"/>
  <c r="F77" i="2"/>
  <c r="E77" i="2"/>
  <c r="D77" i="2"/>
  <c r="C77" i="2"/>
  <c r="B77" i="2"/>
  <c r="M76" i="2"/>
  <c r="L76" i="2"/>
  <c r="K76" i="2"/>
  <c r="J76" i="2"/>
  <c r="I76" i="2"/>
  <c r="H76" i="2"/>
  <c r="G76" i="2"/>
  <c r="F76" i="2"/>
  <c r="E76" i="2"/>
  <c r="D76" i="2"/>
  <c r="C76" i="2"/>
  <c r="B76" i="2"/>
  <c r="M75" i="2"/>
  <c r="L75" i="2"/>
  <c r="K75" i="2"/>
  <c r="J75" i="2"/>
  <c r="I75" i="2"/>
  <c r="H75" i="2"/>
  <c r="G75" i="2"/>
  <c r="F75" i="2"/>
  <c r="E75" i="2"/>
  <c r="D75" i="2"/>
  <c r="C75" i="2"/>
  <c r="B75" i="2"/>
  <c r="M74" i="2"/>
  <c r="L74" i="2"/>
  <c r="K74" i="2"/>
  <c r="J74" i="2"/>
  <c r="I74" i="2"/>
  <c r="H74" i="2"/>
  <c r="G74" i="2"/>
  <c r="F74" i="2"/>
  <c r="E74" i="2"/>
  <c r="D74" i="2"/>
  <c r="C74" i="2"/>
  <c r="B74" i="2"/>
  <c r="M73" i="2"/>
  <c r="L73" i="2"/>
  <c r="K73" i="2"/>
  <c r="J73" i="2"/>
  <c r="I73" i="2"/>
  <c r="H73" i="2"/>
  <c r="G73" i="2"/>
  <c r="F73" i="2"/>
  <c r="E73" i="2"/>
  <c r="D73" i="2"/>
  <c r="C73" i="2"/>
  <c r="B73" i="2"/>
  <c r="M72" i="2"/>
  <c r="L72" i="2"/>
  <c r="K72" i="2"/>
  <c r="J72" i="2"/>
  <c r="I72" i="2"/>
  <c r="H72" i="2"/>
  <c r="G72" i="2"/>
  <c r="F72" i="2"/>
  <c r="E72" i="2"/>
  <c r="D72" i="2"/>
  <c r="C72" i="2"/>
  <c r="B72" i="2"/>
  <c r="M71" i="2"/>
  <c r="L71" i="2"/>
  <c r="K71" i="2"/>
  <c r="J71" i="2"/>
  <c r="I71" i="2"/>
  <c r="H71" i="2"/>
  <c r="G71" i="2"/>
  <c r="F71" i="2"/>
  <c r="E71" i="2"/>
  <c r="D71" i="2"/>
  <c r="C71" i="2"/>
  <c r="B71" i="2"/>
  <c r="M70" i="2"/>
  <c r="L70" i="2"/>
  <c r="K70" i="2"/>
  <c r="J70" i="2"/>
  <c r="I70" i="2"/>
  <c r="H70" i="2"/>
  <c r="G70" i="2"/>
  <c r="F70" i="2"/>
  <c r="E70" i="2"/>
  <c r="D70" i="2"/>
  <c r="C70" i="2"/>
  <c r="B70" i="2"/>
  <c r="M69" i="2"/>
  <c r="L69" i="2"/>
  <c r="K69" i="2"/>
  <c r="J69" i="2"/>
  <c r="I69" i="2"/>
  <c r="H69" i="2"/>
  <c r="G69" i="2"/>
  <c r="F69" i="2"/>
  <c r="E69" i="2"/>
  <c r="D69" i="2"/>
  <c r="C69" i="2"/>
  <c r="B69" i="2"/>
  <c r="M68" i="2"/>
  <c r="L68" i="2"/>
  <c r="K68" i="2"/>
  <c r="J68" i="2"/>
  <c r="I68" i="2"/>
  <c r="H68" i="2"/>
  <c r="G68" i="2"/>
  <c r="F68" i="2"/>
  <c r="E68" i="2"/>
  <c r="D68" i="2"/>
  <c r="C68" i="2"/>
  <c r="B68" i="2"/>
  <c r="M67" i="2"/>
  <c r="L67" i="2"/>
  <c r="K67" i="2"/>
  <c r="J67" i="2"/>
  <c r="I67" i="2"/>
  <c r="H67" i="2"/>
  <c r="G67" i="2"/>
  <c r="F67" i="2"/>
  <c r="E67" i="2"/>
  <c r="D67" i="2"/>
  <c r="C67" i="2"/>
  <c r="B67" i="2"/>
  <c r="M66" i="2"/>
  <c r="L66" i="2"/>
  <c r="K66" i="2"/>
  <c r="J66" i="2"/>
  <c r="I66" i="2"/>
  <c r="H66" i="2"/>
  <c r="G66" i="2"/>
  <c r="F66" i="2"/>
  <c r="E66" i="2"/>
  <c r="D66" i="2"/>
  <c r="C66" i="2"/>
  <c r="B66" i="2"/>
  <c r="M65" i="2"/>
  <c r="L65" i="2"/>
  <c r="K65" i="2"/>
  <c r="J65" i="2"/>
  <c r="I65" i="2"/>
  <c r="H65" i="2"/>
  <c r="G65" i="2"/>
  <c r="F65" i="2"/>
  <c r="E65" i="2"/>
  <c r="D65" i="2"/>
  <c r="C65" i="2"/>
  <c r="B65" i="2"/>
  <c r="M64" i="2"/>
  <c r="L64" i="2"/>
  <c r="K64" i="2"/>
  <c r="J64" i="2"/>
  <c r="I64" i="2"/>
  <c r="H64" i="2"/>
  <c r="G64" i="2"/>
  <c r="F64" i="2"/>
  <c r="E64" i="2"/>
  <c r="D64" i="2"/>
  <c r="C64" i="2"/>
  <c r="B64" i="2"/>
  <c r="O60" i="2"/>
  <c r="N60" i="2"/>
  <c r="M60" i="2"/>
  <c r="L60" i="2"/>
  <c r="K60" i="2"/>
  <c r="J60" i="2"/>
  <c r="I60" i="2"/>
  <c r="H60" i="2"/>
  <c r="G60" i="2"/>
  <c r="F60" i="2"/>
  <c r="E60" i="2"/>
  <c r="D60" i="2"/>
  <c r="C60" i="2"/>
  <c r="B60" i="2"/>
  <c r="O59" i="2"/>
  <c r="N59" i="2"/>
  <c r="M59" i="2"/>
  <c r="L59" i="2"/>
  <c r="K59" i="2"/>
  <c r="J59" i="2"/>
  <c r="I59" i="2"/>
  <c r="H59" i="2"/>
  <c r="G59" i="2"/>
  <c r="F59" i="2"/>
  <c r="E59" i="2"/>
  <c r="D59" i="2"/>
  <c r="C59" i="2"/>
  <c r="B59" i="2"/>
  <c r="O58" i="2"/>
  <c r="N58" i="2"/>
  <c r="M58" i="2"/>
  <c r="L58" i="2"/>
  <c r="K58" i="2"/>
  <c r="J58" i="2"/>
  <c r="I58" i="2"/>
  <c r="H58" i="2"/>
  <c r="G58" i="2"/>
  <c r="F58" i="2"/>
  <c r="E58" i="2"/>
  <c r="D58" i="2"/>
  <c r="C58" i="2"/>
  <c r="B58" i="2"/>
  <c r="O57" i="2"/>
  <c r="N57" i="2"/>
  <c r="M57" i="2"/>
  <c r="L57" i="2"/>
  <c r="K57" i="2"/>
  <c r="J57" i="2"/>
  <c r="I57" i="2"/>
  <c r="H57" i="2"/>
  <c r="G57" i="2"/>
  <c r="F57" i="2"/>
  <c r="E57" i="2"/>
  <c r="D57" i="2"/>
  <c r="C57" i="2"/>
  <c r="B57" i="2"/>
  <c r="O56" i="2"/>
  <c r="N56" i="2"/>
  <c r="M56" i="2"/>
  <c r="L56" i="2"/>
  <c r="K56" i="2"/>
  <c r="J56" i="2"/>
  <c r="I56" i="2"/>
  <c r="H56" i="2"/>
  <c r="G56" i="2"/>
  <c r="F56" i="2"/>
  <c r="E56" i="2"/>
  <c r="D56" i="2"/>
  <c r="C56" i="2"/>
  <c r="B56" i="2"/>
  <c r="O55" i="2"/>
  <c r="N55" i="2"/>
  <c r="M55" i="2"/>
  <c r="L55" i="2"/>
  <c r="K55" i="2"/>
  <c r="J55" i="2"/>
  <c r="I55" i="2"/>
  <c r="H55" i="2"/>
  <c r="G55" i="2"/>
  <c r="F55" i="2"/>
  <c r="E55" i="2"/>
  <c r="D55" i="2"/>
  <c r="C55" i="2"/>
  <c r="B55" i="2"/>
  <c r="O54" i="2"/>
  <c r="N54" i="2"/>
  <c r="M54" i="2"/>
  <c r="L54" i="2"/>
  <c r="K54" i="2"/>
  <c r="J54" i="2"/>
  <c r="I54" i="2"/>
  <c r="H54" i="2"/>
  <c r="G54" i="2"/>
  <c r="F54" i="2"/>
  <c r="E54" i="2"/>
  <c r="D54" i="2"/>
  <c r="C54" i="2"/>
  <c r="B54" i="2"/>
  <c r="O53" i="2"/>
  <c r="N53" i="2"/>
  <c r="M53" i="2"/>
  <c r="L53" i="2"/>
  <c r="K53" i="2"/>
  <c r="J53" i="2"/>
  <c r="I53" i="2"/>
  <c r="H53" i="2"/>
  <c r="G53" i="2"/>
  <c r="F53" i="2"/>
  <c r="E53" i="2"/>
  <c r="D53" i="2"/>
  <c r="C53" i="2"/>
  <c r="B53" i="2"/>
  <c r="O52" i="2"/>
  <c r="N52" i="2"/>
  <c r="M52" i="2"/>
  <c r="L52" i="2"/>
  <c r="K52" i="2"/>
  <c r="J52" i="2"/>
  <c r="I52" i="2"/>
  <c r="H52" i="2"/>
  <c r="G52" i="2"/>
  <c r="F52" i="2"/>
  <c r="E52" i="2"/>
  <c r="D52" i="2"/>
  <c r="C52" i="2"/>
  <c r="B52" i="2"/>
  <c r="O51" i="2"/>
  <c r="N51" i="2"/>
  <c r="M51" i="2"/>
  <c r="L51" i="2"/>
  <c r="K51" i="2"/>
  <c r="J51" i="2"/>
  <c r="I51" i="2"/>
  <c r="H51" i="2"/>
  <c r="G51" i="2"/>
  <c r="F51" i="2"/>
  <c r="E51" i="2"/>
  <c r="D51" i="2"/>
  <c r="C51" i="2"/>
  <c r="B51" i="2"/>
  <c r="O50" i="2"/>
  <c r="N50" i="2"/>
  <c r="M50" i="2"/>
  <c r="L50" i="2"/>
  <c r="K50" i="2"/>
  <c r="J50" i="2"/>
  <c r="I50" i="2"/>
  <c r="H50" i="2"/>
  <c r="G50" i="2"/>
  <c r="F50" i="2"/>
  <c r="E50" i="2"/>
  <c r="D50" i="2"/>
  <c r="C50" i="2"/>
  <c r="B50" i="2"/>
  <c r="O49" i="2"/>
  <c r="N49" i="2"/>
  <c r="M49" i="2"/>
  <c r="L49" i="2"/>
  <c r="K49" i="2"/>
  <c r="J49" i="2"/>
  <c r="I49" i="2"/>
  <c r="H49" i="2"/>
  <c r="G49" i="2"/>
  <c r="F49" i="2"/>
  <c r="E49" i="2"/>
  <c r="D49" i="2"/>
  <c r="C49" i="2"/>
  <c r="B49" i="2"/>
  <c r="O48" i="2"/>
  <c r="N48" i="2"/>
  <c r="M48" i="2"/>
  <c r="L48" i="2"/>
  <c r="K48" i="2"/>
  <c r="J48" i="2"/>
  <c r="I48" i="2"/>
  <c r="H48" i="2"/>
  <c r="G48" i="2"/>
  <c r="F48" i="2"/>
  <c r="E48" i="2"/>
  <c r="D48" i="2"/>
  <c r="C48" i="2"/>
  <c r="B48" i="2"/>
  <c r="O47" i="2"/>
  <c r="N47" i="2"/>
  <c r="M47" i="2"/>
  <c r="L47" i="2"/>
  <c r="K47" i="2"/>
  <c r="J47" i="2"/>
  <c r="I47" i="2"/>
  <c r="H47" i="2"/>
  <c r="G47" i="2"/>
  <c r="F47" i="2"/>
  <c r="E47" i="2"/>
  <c r="D47" i="2"/>
  <c r="C47" i="2"/>
  <c r="B47" i="2"/>
  <c r="O46" i="2"/>
  <c r="N46" i="2"/>
  <c r="M46" i="2"/>
  <c r="L46" i="2"/>
  <c r="K46" i="2"/>
  <c r="J46" i="2"/>
  <c r="I46" i="2"/>
  <c r="H46" i="2"/>
  <c r="G46" i="2"/>
  <c r="F46" i="2"/>
  <c r="E46" i="2"/>
  <c r="D46" i="2"/>
  <c r="C46" i="2"/>
  <c r="B46" i="2"/>
  <c r="O45" i="2"/>
  <c r="N45" i="2"/>
  <c r="M45" i="2"/>
  <c r="L45" i="2"/>
  <c r="K45" i="2"/>
  <c r="J45" i="2"/>
  <c r="I45" i="2"/>
  <c r="H45" i="2"/>
  <c r="G45" i="2"/>
  <c r="F45" i="2"/>
  <c r="E45" i="2"/>
  <c r="D45" i="2"/>
  <c r="C45" i="2"/>
  <c r="B45" i="2"/>
  <c r="O44" i="2"/>
  <c r="N44" i="2"/>
  <c r="M44" i="2"/>
  <c r="L44" i="2"/>
  <c r="K44" i="2"/>
  <c r="J44" i="2"/>
  <c r="I44" i="2"/>
  <c r="H44" i="2"/>
  <c r="G44" i="2"/>
  <c r="F44" i="2"/>
  <c r="E44" i="2"/>
  <c r="D44" i="2"/>
  <c r="C44" i="2"/>
  <c r="B44" i="2"/>
  <c r="O40" i="2"/>
  <c r="N40" i="2"/>
  <c r="M40" i="2"/>
  <c r="L40" i="2"/>
  <c r="K40" i="2"/>
  <c r="J40" i="2"/>
  <c r="I40" i="2"/>
  <c r="H40" i="2"/>
  <c r="G40" i="2"/>
  <c r="F40" i="2"/>
  <c r="E40" i="2"/>
  <c r="D40" i="2"/>
  <c r="C40" i="2"/>
  <c r="B40" i="2"/>
  <c r="O39" i="2"/>
  <c r="N39" i="2"/>
  <c r="M39" i="2"/>
  <c r="L39" i="2"/>
  <c r="K39" i="2"/>
  <c r="J39" i="2"/>
  <c r="I39" i="2"/>
  <c r="H39" i="2"/>
  <c r="G39" i="2"/>
  <c r="F39" i="2"/>
  <c r="E39" i="2"/>
  <c r="D39" i="2"/>
  <c r="C39" i="2"/>
  <c r="B39" i="2"/>
  <c r="O38" i="2"/>
  <c r="N38" i="2"/>
  <c r="M38" i="2"/>
  <c r="L38" i="2"/>
  <c r="K38" i="2"/>
  <c r="J38" i="2"/>
  <c r="I38" i="2"/>
  <c r="H38" i="2"/>
  <c r="G38" i="2"/>
  <c r="F38" i="2"/>
  <c r="E38" i="2"/>
  <c r="D38" i="2"/>
  <c r="C38" i="2"/>
  <c r="B38" i="2"/>
  <c r="O37" i="2"/>
  <c r="N37" i="2"/>
  <c r="M37" i="2"/>
  <c r="L37" i="2"/>
  <c r="K37" i="2"/>
  <c r="J37" i="2"/>
  <c r="I37" i="2"/>
  <c r="H37" i="2"/>
  <c r="G37" i="2"/>
  <c r="F37" i="2"/>
  <c r="E37" i="2"/>
  <c r="D37" i="2"/>
  <c r="C37" i="2"/>
  <c r="B37" i="2"/>
  <c r="O36" i="2"/>
  <c r="N36" i="2"/>
  <c r="M36" i="2"/>
  <c r="L36" i="2"/>
  <c r="K36" i="2"/>
  <c r="J36" i="2"/>
  <c r="I36" i="2"/>
  <c r="H36" i="2"/>
  <c r="G36" i="2"/>
  <c r="F36" i="2"/>
  <c r="E36" i="2"/>
  <c r="D36" i="2"/>
  <c r="C36" i="2"/>
  <c r="B36" i="2"/>
  <c r="O35" i="2"/>
  <c r="N35" i="2"/>
  <c r="M35" i="2"/>
  <c r="L35" i="2"/>
  <c r="K35" i="2"/>
  <c r="J35" i="2"/>
  <c r="I35" i="2"/>
  <c r="H35" i="2"/>
  <c r="G35" i="2"/>
  <c r="F35" i="2"/>
  <c r="E35" i="2"/>
  <c r="D35" i="2"/>
  <c r="C35" i="2"/>
  <c r="B35" i="2"/>
  <c r="O34" i="2"/>
  <c r="N34" i="2"/>
  <c r="M34" i="2"/>
  <c r="L34" i="2"/>
  <c r="K34" i="2"/>
  <c r="J34" i="2"/>
  <c r="I34" i="2"/>
  <c r="H34" i="2"/>
  <c r="G34" i="2"/>
  <c r="F34" i="2"/>
  <c r="E34" i="2"/>
  <c r="D34" i="2"/>
  <c r="C34" i="2"/>
  <c r="B34" i="2"/>
  <c r="O33" i="2"/>
  <c r="N33" i="2"/>
  <c r="M33" i="2"/>
  <c r="L33" i="2"/>
  <c r="K33" i="2"/>
  <c r="J33" i="2"/>
  <c r="I33" i="2"/>
  <c r="H33" i="2"/>
  <c r="G33" i="2"/>
  <c r="F33" i="2"/>
  <c r="E33" i="2"/>
  <c r="D33" i="2"/>
  <c r="C33" i="2"/>
  <c r="B33" i="2"/>
  <c r="O32" i="2"/>
  <c r="N32" i="2"/>
  <c r="M32" i="2"/>
  <c r="L32" i="2"/>
  <c r="K32" i="2"/>
  <c r="J32" i="2"/>
  <c r="I32" i="2"/>
  <c r="H32" i="2"/>
  <c r="G32" i="2"/>
  <c r="F32" i="2"/>
  <c r="E32" i="2"/>
  <c r="D32" i="2"/>
  <c r="C32" i="2"/>
  <c r="B32" i="2"/>
  <c r="O31" i="2"/>
  <c r="N31" i="2"/>
  <c r="M31" i="2"/>
  <c r="L31" i="2"/>
  <c r="K31" i="2"/>
  <c r="J31" i="2"/>
  <c r="I31" i="2"/>
  <c r="H31" i="2"/>
  <c r="G31" i="2"/>
  <c r="F31" i="2"/>
  <c r="E31" i="2"/>
  <c r="D31" i="2"/>
  <c r="C31" i="2"/>
  <c r="B31" i="2"/>
  <c r="O30" i="2"/>
  <c r="N30" i="2"/>
  <c r="M30" i="2"/>
  <c r="L30" i="2"/>
  <c r="K30" i="2"/>
  <c r="J30" i="2"/>
  <c r="I30" i="2"/>
  <c r="H30" i="2"/>
  <c r="G30" i="2"/>
  <c r="F30" i="2"/>
  <c r="E30" i="2"/>
  <c r="D30" i="2"/>
  <c r="C30" i="2"/>
  <c r="B30" i="2"/>
  <c r="O29" i="2"/>
  <c r="N29" i="2"/>
  <c r="M29" i="2"/>
  <c r="L29" i="2"/>
  <c r="K29" i="2"/>
  <c r="J29" i="2"/>
  <c r="I29" i="2"/>
  <c r="H29" i="2"/>
  <c r="G29" i="2"/>
  <c r="F29" i="2"/>
  <c r="E29" i="2"/>
  <c r="D29" i="2"/>
  <c r="C29" i="2"/>
  <c r="B29" i="2"/>
  <c r="O28" i="2"/>
  <c r="N28" i="2"/>
  <c r="M28" i="2"/>
  <c r="L28" i="2"/>
  <c r="K28" i="2"/>
  <c r="J28" i="2"/>
  <c r="I28" i="2"/>
  <c r="H28" i="2"/>
  <c r="G28" i="2"/>
  <c r="F28" i="2"/>
  <c r="E28" i="2"/>
  <c r="D28" i="2"/>
  <c r="C28" i="2"/>
  <c r="B28" i="2"/>
  <c r="O27" i="2"/>
  <c r="N27" i="2"/>
  <c r="M27" i="2"/>
  <c r="L27" i="2"/>
  <c r="K27" i="2"/>
  <c r="J27" i="2"/>
  <c r="I27" i="2"/>
  <c r="H27" i="2"/>
  <c r="G27" i="2"/>
  <c r="F27" i="2"/>
  <c r="E27" i="2"/>
  <c r="D27" i="2"/>
  <c r="C27" i="2"/>
  <c r="B27" i="2"/>
  <c r="O26" i="2"/>
  <c r="N26" i="2"/>
  <c r="M26" i="2"/>
  <c r="L26" i="2"/>
  <c r="K26" i="2"/>
  <c r="J26" i="2"/>
  <c r="I26" i="2"/>
  <c r="H26" i="2"/>
  <c r="G26" i="2"/>
  <c r="F26" i="2"/>
  <c r="E26" i="2"/>
  <c r="D26" i="2"/>
  <c r="C26" i="2"/>
  <c r="B26" i="2"/>
  <c r="O25" i="2"/>
  <c r="N25" i="2"/>
  <c r="M25" i="2"/>
  <c r="L25" i="2"/>
  <c r="K25" i="2"/>
  <c r="J25" i="2"/>
  <c r="I25" i="2"/>
  <c r="H25" i="2"/>
  <c r="G25" i="2"/>
  <c r="F25" i="2"/>
  <c r="E25" i="2"/>
  <c r="D25" i="2"/>
  <c r="C25" i="2"/>
  <c r="B25" i="2"/>
  <c r="O24" i="2"/>
  <c r="N24" i="2"/>
  <c r="M24" i="2"/>
  <c r="L24" i="2"/>
  <c r="K24" i="2"/>
  <c r="J24" i="2"/>
  <c r="I24" i="2"/>
  <c r="H24" i="2"/>
  <c r="G24" i="2"/>
  <c r="F24" i="2"/>
  <c r="E24" i="2"/>
  <c r="D24" i="2"/>
  <c r="C24" i="2"/>
  <c r="B24" i="2"/>
  <c r="O20" i="2"/>
  <c r="N20" i="2"/>
  <c r="M20" i="2"/>
  <c r="L20" i="2"/>
  <c r="K20" i="2"/>
  <c r="J20" i="2"/>
  <c r="I20" i="2"/>
  <c r="H20" i="2"/>
  <c r="G20" i="2"/>
  <c r="F20" i="2"/>
  <c r="E20" i="2"/>
  <c r="D20" i="2"/>
  <c r="C20" i="2"/>
  <c r="B20" i="2"/>
  <c r="O19" i="2"/>
  <c r="N19" i="2"/>
  <c r="M19" i="2"/>
  <c r="L19" i="2"/>
  <c r="K19" i="2"/>
  <c r="J19" i="2"/>
  <c r="I19" i="2"/>
  <c r="H19" i="2"/>
  <c r="G19" i="2"/>
  <c r="F19" i="2"/>
  <c r="E19" i="2"/>
  <c r="D19" i="2"/>
  <c r="C19" i="2"/>
  <c r="B19" i="2"/>
  <c r="O18" i="2"/>
  <c r="N18" i="2"/>
  <c r="M18" i="2"/>
  <c r="L18" i="2"/>
  <c r="K18" i="2"/>
  <c r="J18" i="2"/>
  <c r="I18" i="2"/>
  <c r="H18" i="2"/>
  <c r="G18" i="2"/>
  <c r="F18" i="2"/>
  <c r="E18" i="2"/>
  <c r="D18" i="2"/>
  <c r="C18" i="2"/>
  <c r="B18" i="2"/>
  <c r="O17" i="2"/>
  <c r="N17" i="2"/>
  <c r="M17" i="2"/>
  <c r="L17" i="2"/>
  <c r="K17" i="2"/>
  <c r="J17" i="2"/>
  <c r="I17" i="2"/>
  <c r="H17" i="2"/>
  <c r="G17" i="2"/>
  <c r="F17" i="2"/>
  <c r="E17" i="2"/>
  <c r="D17" i="2"/>
  <c r="C17" i="2"/>
  <c r="B17" i="2"/>
  <c r="O16" i="2"/>
  <c r="N16" i="2"/>
  <c r="M16" i="2"/>
  <c r="L16" i="2"/>
  <c r="K16" i="2"/>
  <c r="J16" i="2"/>
  <c r="I16" i="2"/>
  <c r="H16" i="2"/>
  <c r="G16" i="2"/>
  <c r="F16" i="2"/>
  <c r="E16" i="2"/>
  <c r="D16" i="2"/>
  <c r="C16" i="2"/>
  <c r="B16" i="2"/>
  <c r="O15" i="2"/>
  <c r="N15" i="2"/>
  <c r="M15" i="2"/>
  <c r="L15" i="2"/>
  <c r="K15" i="2"/>
  <c r="J15" i="2"/>
  <c r="I15" i="2"/>
  <c r="H15" i="2"/>
  <c r="G15" i="2"/>
  <c r="F15" i="2"/>
  <c r="E15" i="2"/>
  <c r="D15" i="2"/>
  <c r="C15" i="2"/>
  <c r="B15" i="2"/>
  <c r="O14" i="2"/>
  <c r="N14" i="2"/>
  <c r="M14" i="2"/>
  <c r="L14" i="2"/>
  <c r="K14" i="2"/>
  <c r="J14" i="2"/>
  <c r="I14" i="2"/>
  <c r="H14" i="2"/>
  <c r="G14" i="2"/>
  <c r="F14" i="2"/>
  <c r="E14" i="2"/>
  <c r="D14" i="2"/>
  <c r="C14" i="2"/>
  <c r="B14" i="2"/>
  <c r="O13" i="2"/>
  <c r="N13" i="2"/>
  <c r="M13" i="2"/>
  <c r="L13" i="2"/>
  <c r="K13" i="2"/>
  <c r="J13" i="2"/>
  <c r="I13" i="2"/>
  <c r="H13" i="2"/>
  <c r="G13" i="2"/>
  <c r="F13" i="2"/>
  <c r="E13" i="2"/>
  <c r="D13" i="2"/>
  <c r="C13" i="2"/>
  <c r="B13" i="2"/>
  <c r="O12" i="2"/>
  <c r="N12" i="2"/>
  <c r="M12" i="2"/>
  <c r="L12" i="2"/>
  <c r="K12" i="2"/>
  <c r="J12" i="2"/>
  <c r="I12" i="2"/>
  <c r="H12" i="2"/>
  <c r="G12" i="2"/>
  <c r="F12" i="2"/>
  <c r="E12" i="2"/>
  <c r="D12" i="2"/>
  <c r="C12" i="2"/>
  <c r="B12" i="2"/>
  <c r="O11" i="2"/>
  <c r="N11" i="2"/>
  <c r="M11" i="2"/>
  <c r="L11" i="2"/>
  <c r="K11" i="2"/>
  <c r="J11" i="2"/>
  <c r="I11" i="2"/>
  <c r="H11" i="2"/>
  <c r="G11" i="2"/>
  <c r="F11" i="2"/>
  <c r="E11" i="2"/>
  <c r="D11" i="2"/>
  <c r="C11" i="2"/>
  <c r="B11" i="2"/>
  <c r="O10" i="2"/>
  <c r="N10" i="2"/>
  <c r="M10" i="2"/>
  <c r="L10" i="2"/>
  <c r="K10" i="2"/>
  <c r="J10" i="2"/>
  <c r="I10" i="2"/>
  <c r="H10" i="2"/>
  <c r="G10" i="2"/>
  <c r="F10" i="2"/>
  <c r="E10" i="2"/>
  <c r="D10" i="2"/>
  <c r="C10" i="2"/>
  <c r="B10" i="2"/>
  <c r="O9" i="2"/>
  <c r="N9" i="2"/>
  <c r="M9" i="2"/>
  <c r="L9" i="2"/>
  <c r="K9" i="2"/>
  <c r="J9" i="2"/>
  <c r="I9" i="2"/>
  <c r="H9" i="2"/>
  <c r="G9" i="2"/>
  <c r="F9" i="2"/>
  <c r="E9" i="2"/>
  <c r="D9" i="2"/>
  <c r="C9" i="2"/>
  <c r="B9" i="2"/>
  <c r="O8" i="2"/>
  <c r="N8" i="2"/>
  <c r="M8" i="2"/>
  <c r="L8" i="2"/>
  <c r="K8" i="2"/>
  <c r="J8" i="2"/>
  <c r="I8" i="2"/>
  <c r="H8" i="2"/>
  <c r="G8" i="2"/>
  <c r="F8" i="2"/>
  <c r="E8" i="2"/>
  <c r="D8" i="2"/>
  <c r="C8" i="2"/>
  <c r="B8" i="2"/>
  <c r="O7" i="2"/>
  <c r="N7" i="2"/>
  <c r="M7" i="2"/>
  <c r="L7" i="2"/>
  <c r="K7" i="2"/>
  <c r="J7" i="2"/>
  <c r="I7" i="2"/>
  <c r="H7" i="2"/>
  <c r="G7" i="2"/>
  <c r="F7" i="2"/>
  <c r="E7" i="2"/>
  <c r="D7" i="2"/>
  <c r="C7" i="2"/>
  <c r="B7" i="2"/>
  <c r="O6" i="2"/>
  <c r="N6" i="2"/>
  <c r="M6" i="2"/>
  <c r="L6" i="2"/>
  <c r="K6" i="2"/>
  <c r="J6" i="2"/>
  <c r="I6" i="2"/>
  <c r="H6" i="2"/>
  <c r="G6" i="2"/>
  <c r="F6" i="2"/>
  <c r="E6" i="2"/>
  <c r="D6" i="2"/>
  <c r="C6" i="2"/>
  <c r="B6" i="2"/>
  <c r="O5" i="2"/>
  <c r="N5" i="2"/>
  <c r="M5" i="2"/>
  <c r="L5" i="2"/>
  <c r="K5" i="2"/>
  <c r="J5" i="2"/>
  <c r="I5" i="2"/>
  <c r="H5" i="2"/>
  <c r="G5" i="2"/>
  <c r="F5" i="2"/>
  <c r="E5" i="2"/>
  <c r="D5" i="2"/>
  <c r="C5" i="2"/>
  <c r="B5" i="2"/>
  <c r="O4" i="2"/>
  <c r="N4" i="2"/>
  <c r="M4" i="2"/>
  <c r="L4" i="2"/>
  <c r="K4" i="2"/>
  <c r="J4" i="2"/>
  <c r="I4" i="2"/>
  <c r="H4" i="2"/>
  <c r="G4" i="2"/>
  <c r="F4" i="2"/>
  <c r="E4" i="2"/>
  <c r="D4" i="2"/>
  <c r="C4" i="2"/>
  <c r="B4" i="2"/>
</calcChain>
</file>

<file path=xl/sharedStrings.xml><?xml version="1.0" encoding="utf-8"?>
<sst xmlns="http://schemas.openxmlformats.org/spreadsheetml/2006/main" count="346" uniqueCount="98">
  <si>
    <t>جدول رقم (1): الأقساط المباشرة (المجموع التأمين العام والصحي والحياة)</t>
  </si>
  <si>
    <t>الشركة</t>
  </si>
  <si>
    <t>النقل</t>
  </si>
  <si>
    <t>الممتلكات</t>
  </si>
  <si>
    <t>المركبات الشامل - المركبات</t>
  </si>
  <si>
    <t>المركبات الطرف الثالث - المركبات</t>
  </si>
  <si>
    <t>إجمالي المركبات - المركبات</t>
  </si>
  <si>
    <t>المسؤولية</t>
  </si>
  <si>
    <t>الهندسي</t>
  </si>
  <si>
    <t>الأخرى</t>
  </si>
  <si>
    <t>إجمالي التأمين العام</t>
  </si>
  <si>
    <t>الحياة (أفراد) - الحياة</t>
  </si>
  <si>
    <t>الحياة (مجموعة) - الحياة</t>
  </si>
  <si>
    <t>إجمالي التأمين على الحياة - الحياة</t>
  </si>
  <si>
    <t>الصحي</t>
  </si>
  <si>
    <t>المجموع( التأمين العام والصحي والحياة)</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</si>
  <si>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</si>
  <si>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</si>
  <si>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</si>
  <si>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</si>
  <si>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</si>
  <si>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</si>
  <si>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</si>
  <si>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</si>
  <si>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</si>
  <si>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</si>
  <si>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</si>
  <si>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</si>
  <si>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</si>
  <si>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</si>
  <si>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</si>
  <si>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</si>
  <si>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</si>
  <si>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 (2): التعويضات المدفوعة (المجموع التأمين العام والصحي والحياة)</t>
  </si>
  <si>
    <t>جدول رقم (3): عدد الوثائق (المجموع التأمين العام والصحي والحياة)</t>
  </si>
  <si>
    <t>جدول رقم (4): إجمالي الإستثمارات</t>
  </si>
  <si>
    <t>العقارات</t>
  </si>
  <si>
    <t>السندات الحكومية</t>
  </si>
  <si>
    <t>سندات مضمونة من الحكومة</t>
  </si>
  <si>
    <t>السندات التجارية</t>
  </si>
  <si>
    <t>أسهم في شركات وطنية</t>
  </si>
  <si>
    <t>أسهم في شركات أخرى</t>
  </si>
  <si>
    <t>قروض بضمان وثائق تأمين الحياة</t>
  </si>
  <si>
    <t>قروض بضمان وثائق تكوين الأموال</t>
  </si>
  <si>
    <t>قروض بضمانات أخرى</t>
  </si>
  <si>
    <t>الودائع البنكية (عام )</t>
  </si>
  <si>
    <t>الودائع البنكية(حياة )</t>
  </si>
  <si>
    <t>الإجمالي</t>
  </si>
  <si>
    <t>جدول رقم (5): العائد من الإستثمارات</t>
  </si>
  <si>
    <t>جدول رقم (6): إجمالي رؤوس الأموال المدفوعة</t>
  </si>
  <si>
    <t>التأمين العام</t>
  </si>
  <si>
    <t>التأمين على الحياة</t>
  </si>
  <si>
    <t>التأمين الصحي</t>
  </si>
  <si>
    <t>الإجمالي (التأمين العام والصحي والحياة)</t>
  </si>
  <si>
    <t>جدول رقم (7): إجمالي الأصول (الموجودات)</t>
  </si>
  <si>
    <t>جدول رقم (8): إجمالي الالتزامات</t>
  </si>
  <si>
    <t>جدول رقم (9): صافي الربح</t>
  </si>
  <si>
    <t>القيمة</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</si>
  <si>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</si>
  <si>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</si>
  <si>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</si>
  <si>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</si>
  <si>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</si>
  <si>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</si>
  <si>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</si>
  <si>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</si>
  <si>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</si>
  <si>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</si>
  <si>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</si>
  <si>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</si>
  <si>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</si>
  <si>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</si>
  <si>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</si>
  <si>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</si>
  <si>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</si>
  <si>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</si>
  <si>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</si>
  <si>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</si>
  <si>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</si>
  <si>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</si>
  <si>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</si>
  <si>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</si>
  <si>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</si>
  <si>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</si>
  <si>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</si>
  <si>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</si>
  <si>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</si>
  <si>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</si>
  <si>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المؤشرات العامة لقطاع التأمين</t>
  </si>
  <si>
    <t>م</t>
  </si>
  <si>
    <t>اسم المتغير</t>
  </si>
  <si>
    <t>وصف المتغير</t>
  </si>
  <si>
    <t>نوع البيانات</t>
  </si>
  <si>
    <t>مستوى الإلزامية(إجباري/ اختياري)</t>
  </si>
  <si>
    <t>اسم شركة التأمين</t>
  </si>
  <si>
    <t>نص</t>
  </si>
  <si>
    <t>إلزامي</t>
  </si>
  <si>
    <t>رقم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</si>
</sst>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4"/>
      <color theme="0"/>
      <name val="Arial"/>
      <family val="2"/>
      <scheme val="minor"/>
    </font>
    <font>
      <sz val="11"/>
      <color rgb="FF212529"/>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25" borderId="10" xfId="34" applyFont="1" applyBorder="1" applyAlignment="1">
      <alignment horizontal="center" vertical="center" wrapText="1"/>
    </xf>
    <xf numFmtId="0" fontId="23" fillId="35" borderId="11" xfId="0" applyFont="1" applyFill="1" applyBorder="1" applyAlignment="1">
      <alignment horizontal="right" vertical="center" wrapText="1"/>
    </xf>
    <xf numFmtId="14" fontId="23"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B14" sqref="B14"/>
    </sheetView>
  </sheetViews>
  <sheetFormatPr defaultRowHeight="14" x14ac:dyDescent="0.3"/>
  <cols>
    <col min="1" max="1" width="40.1640625" customWidth="1"/>
    <col min="2" max="2" width="41.75" customWidth="1"/>
  </cols>
  <sheetData>
    <row r="1" spans="1:2" ht="17.5" x14ac:dyDescent="0.3">
      <c r="A1" s="6" t="s">
        <v>58</v>
      </c>
      <c r="B1" s="6" t="s">
        <v>88</v>
      </c>
    </row>
    <row r="2" spans="1:2" ht="70" x14ac:dyDescent="0.3">
      <c r="A2" s="7" t="s">
        <v>59</v>
      </c>
      <c r="B2" s="7" t="s">
        <v>60</v>
      </c>
    </row>
    <row r="3" spans="1:2" x14ac:dyDescent="0.3">
      <c r="A3" s="7" t="s">
        <v>61</v>
      </c>
      <c r="B3" s="7" t="s">
        <v>62</v>
      </c>
    </row>
    <row r="4" spans="1:2" x14ac:dyDescent="0.3">
      <c r="A4" s="7" t="s">
        <v>63</v>
      </c>
      <c r="B4" s="7" t="s">
        <v>64</v>
      </c>
    </row>
    <row r="5" spans="1:2" ht="42" x14ac:dyDescent="0.3">
      <c r="A5" s="7" t="s">
        <v>65</v>
      </c>
      <c r="B5" s="7" t="s">
        <v>66</v>
      </c>
    </row>
    <row r="6" spans="1:2" x14ac:dyDescent="0.3">
      <c r="A6" s="7" t="s">
        <v>67</v>
      </c>
      <c r="B6" s="8">
        <v>44568</v>
      </c>
    </row>
    <row r="7" spans="1:2" x14ac:dyDescent="0.3">
      <c r="A7" s="7" t="s">
        <v>68</v>
      </c>
      <c r="B7" s="7" t="s">
        <v>69</v>
      </c>
    </row>
    <row r="8" spans="1:2" x14ac:dyDescent="0.3">
      <c r="A8" s="7" t="s">
        <v>70</v>
      </c>
      <c r="B8" s="7" t="s">
        <v>71</v>
      </c>
    </row>
    <row r="9" spans="1:2" x14ac:dyDescent="0.3">
      <c r="A9" s="7" t="s">
        <v>72</v>
      </c>
      <c r="B9" s="7" t="s">
        <v>73</v>
      </c>
    </row>
    <row r="10" spans="1:2" x14ac:dyDescent="0.3">
      <c r="A10" s="7" t="s">
        <v>74</v>
      </c>
      <c r="B10" s="7" t="s">
        <v>75</v>
      </c>
    </row>
    <row r="11" spans="1:2" x14ac:dyDescent="0.3">
      <c r="A11" s="7" t="s">
        <v>76</v>
      </c>
      <c r="B11" s="7" t="s">
        <v>77</v>
      </c>
    </row>
    <row r="12" spans="1:2" x14ac:dyDescent="0.3">
      <c r="A12" s="7" t="s">
        <v>78</v>
      </c>
      <c r="B12" s="7" t="s">
        <v>79</v>
      </c>
    </row>
    <row r="13" spans="1:2" x14ac:dyDescent="0.3">
      <c r="A13" s="7" t="s">
        <v>80</v>
      </c>
      <c r="B13" s="7" t="s">
        <v>81</v>
      </c>
    </row>
    <row r="14" spans="1:2" ht="70" x14ac:dyDescent="0.3">
      <c r="A14" s="7" t="s">
        <v>82</v>
      </c>
      <c r="B14" s="7" t="s">
        <v>83</v>
      </c>
    </row>
    <row r="15" spans="1:2" x14ac:dyDescent="0.3">
      <c r="A15" s="7" t="s">
        <v>84</v>
      </c>
      <c r="B15" s="7" t="s">
        <v>85</v>
      </c>
    </row>
    <row r="16" spans="1:2" x14ac:dyDescent="0.3">
      <c r="A16" s="7" t="s">
        <v>86</v>
      </c>
      <c r="B16" s="7" t="s">
        <v>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rightToLeft="1" workbookViewId="0">
      <selection activeCell="E21" sqref="E21"/>
    </sheetView>
  </sheetViews>
  <sheetFormatPr defaultRowHeight="14" x14ac:dyDescent="0.3"/>
  <cols>
    <col min="1" max="1" width="20.58203125" customWidth="1"/>
    <col min="2" max="2" width="27.6640625" customWidth="1"/>
    <col min="3" max="3" width="27.1640625" customWidth="1"/>
    <col min="4" max="4" width="22.4140625" customWidth="1"/>
    <col min="5" max="5" width="25.5" customWidth="1"/>
  </cols>
  <sheetData>
    <row r="1" spans="1:5" x14ac:dyDescent="0.3">
      <c r="A1" s="9" t="s">
        <v>89</v>
      </c>
      <c r="B1" s="9" t="s">
        <v>90</v>
      </c>
      <c r="C1" s="9" t="s">
        <v>91</v>
      </c>
      <c r="D1" s="9" t="s">
        <v>92</v>
      </c>
      <c r="E1" s="9" t="s">
        <v>93</v>
      </c>
    </row>
    <row r="2" spans="1:5" ht="15.5" x14ac:dyDescent="0.3">
      <c r="A2" s="10">
        <v>1</v>
      </c>
      <c r="B2" s="11" t="s">
        <v>1</v>
      </c>
      <c r="C2" s="11" t="s">
        <v>94</v>
      </c>
      <c r="D2" s="11" t="s">
        <v>95</v>
      </c>
      <c r="E2" s="11" t="s">
        <v>96</v>
      </c>
    </row>
    <row r="3" spans="1:5" ht="15.5" x14ac:dyDescent="0.3">
      <c r="A3" s="10">
        <v>2</v>
      </c>
      <c r="B3" s="11" t="s">
        <v>2</v>
      </c>
      <c r="C3" s="11" t="s">
        <v>2</v>
      </c>
      <c r="D3" s="11" t="s">
        <v>97</v>
      </c>
      <c r="E3" s="11" t="s">
        <v>96</v>
      </c>
    </row>
    <row r="4" spans="1:5" ht="15.5" x14ac:dyDescent="0.3">
      <c r="A4" s="10">
        <v>3</v>
      </c>
      <c r="B4" s="11" t="s">
        <v>3</v>
      </c>
      <c r="C4" s="11" t="s">
        <v>3</v>
      </c>
      <c r="D4" s="11" t="s">
        <v>97</v>
      </c>
      <c r="E4" s="11" t="s">
        <v>96</v>
      </c>
    </row>
    <row r="5" spans="1:5" ht="15.5" x14ac:dyDescent="0.3">
      <c r="A5" s="10">
        <v>4</v>
      </c>
      <c r="B5" s="11" t="s">
        <v>4</v>
      </c>
      <c r="C5" s="11" t="s">
        <v>4</v>
      </c>
      <c r="D5" s="11" t="s">
        <v>97</v>
      </c>
      <c r="E5" s="11" t="s">
        <v>96</v>
      </c>
    </row>
    <row r="6" spans="1:5" ht="31" x14ac:dyDescent="0.3">
      <c r="A6" s="10">
        <v>5</v>
      </c>
      <c r="B6" s="11" t="s">
        <v>5</v>
      </c>
      <c r="C6" s="11" t="s">
        <v>5</v>
      </c>
      <c r="D6" s="11" t="s">
        <v>97</v>
      </c>
      <c r="E6" s="11" t="s">
        <v>96</v>
      </c>
    </row>
    <row r="7" spans="1:5" ht="15.5" x14ac:dyDescent="0.3">
      <c r="A7" s="10">
        <v>6</v>
      </c>
      <c r="B7" s="11" t="s">
        <v>6</v>
      </c>
      <c r="C7" s="11" t="s">
        <v>6</v>
      </c>
      <c r="D7" s="11" t="s">
        <v>97</v>
      </c>
      <c r="E7" s="11" t="s">
        <v>96</v>
      </c>
    </row>
    <row r="8" spans="1:5" ht="15.5" x14ac:dyDescent="0.3">
      <c r="A8" s="10">
        <v>7</v>
      </c>
      <c r="B8" s="11" t="s">
        <v>7</v>
      </c>
      <c r="C8" s="11" t="s">
        <v>7</v>
      </c>
      <c r="D8" s="11" t="s">
        <v>97</v>
      </c>
      <c r="E8" s="11" t="s">
        <v>96</v>
      </c>
    </row>
    <row r="9" spans="1:5" ht="15.5" x14ac:dyDescent="0.3">
      <c r="A9" s="10">
        <v>8</v>
      </c>
      <c r="B9" s="11" t="s">
        <v>8</v>
      </c>
      <c r="C9" s="11" t="s">
        <v>8</v>
      </c>
      <c r="D9" s="11" t="s">
        <v>97</v>
      </c>
      <c r="E9" s="11" t="s">
        <v>96</v>
      </c>
    </row>
    <row r="10" spans="1:5" ht="15.5" x14ac:dyDescent="0.3">
      <c r="A10" s="10">
        <v>9</v>
      </c>
      <c r="B10" s="11" t="s">
        <v>9</v>
      </c>
      <c r="C10" s="11" t="s">
        <v>9</v>
      </c>
      <c r="D10" s="11" t="s">
        <v>97</v>
      </c>
      <c r="E10" s="11" t="s">
        <v>96</v>
      </c>
    </row>
    <row r="11" spans="1:5" ht="15.5" x14ac:dyDescent="0.3">
      <c r="A11" s="10">
        <v>10</v>
      </c>
      <c r="B11" s="11" t="s">
        <v>10</v>
      </c>
      <c r="C11" s="11" t="s">
        <v>10</v>
      </c>
      <c r="D11" s="11" t="s">
        <v>97</v>
      </c>
      <c r="E11" s="11" t="s">
        <v>96</v>
      </c>
    </row>
    <row r="12" spans="1:5" ht="15.5" x14ac:dyDescent="0.3">
      <c r="A12" s="10">
        <v>11</v>
      </c>
      <c r="B12" s="11" t="s">
        <v>11</v>
      </c>
      <c r="C12" s="11" t="s">
        <v>11</v>
      </c>
      <c r="D12" s="11" t="s">
        <v>97</v>
      </c>
      <c r="E12" s="11" t="s">
        <v>96</v>
      </c>
    </row>
    <row r="13" spans="1:5" ht="15.5" x14ac:dyDescent="0.3">
      <c r="A13" s="10">
        <v>12</v>
      </c>
      <c r="B13" s="11" t="s">
        <v>12</v>
      </c>
      <c r="C13" s="11" t="s">
        <v>12</v>
      </c>
      <c r="D13" s="11" t="s">
        <v>97</v>
      </c>
      <c r="E13" s="11" t="s">
        <v>96</v>
      </c>
    </row>
    <row r="14" spans="1:5" ht="15.5" x14ac:dyDescent="0.3">
      <c r="A14" s="10">
        <v>13</v>
      </c>
      <c r="B14" s="11" t="s">
        <v>13</v>
      </c>
      <c r="C14" s="11" t="s">
        <v>13</v>
      </c>
      <c r="D14" s="11" t="s">
        <v>97</v>
      </c>
      <c r="E14" s="11" t="s">
        <v>96</v>
      </c>
    </row>
    <row r="15" spans="1:5" ht="15.5" x14ac:dyDescent="0.3">
      <c r="A15" s="10">
        <v>14</v>
      </c>
      <c r="B15" s="11" t="s">
        <v>14</v>
      </c>
      <c r="C15" s="11" t="s">
        <v>14</v>
      </c>
      <c r="D15" s="11" t="s">
        <v>97</v>
      </c>
      <c r="E15" s="11" t="s">
        <v>96</v>
      </c>
    </row>
    <row r="16" spans="1:5" ht="15.5" x14ac:dyDescent="0.3">
      <c r="A16" s="10">
        <v>15</v>
      </c>
      <c r="B16" s="11" t="s">
        <v>15</v>
      </c>
      <c r="C16" s="11" t="s">
        <v>15</v>
      </c>
      <c r="D16" s="11" t="s">
        <v>97</v>
      </c>
      <c r="E16" s="11" t="s">
        <v>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0"/>
  <sheetViews>
    <sheetView rightToLeft="1" workbookViewId="0">
      <selection activeCell="O2" sqref="O2"/>
    </sheetView>
  </sheetViews>
  <sheetFormatPr defaultRowHeight="12.75" x14ac:dyDescent="0.3"/>
  <cols>
    <col min="1" max="1" width="26.75" bestFit="1" customWidth="1"/>
    <col min="2" max="2" width="7.1640625" bestFit="1" customWidth="1"/>
    <col min="3" max="3" width="10.58203125" bestFit="1" customWidth="1"/>
    <col min="4" max="4" width="16" bestFit="1" customWidth="1"/>
    <col min="5" max="5" width="22.9140625" bestFit="1" customWidth="1"/>
    <col min="6" max="6" width="15.9140625" bestFit="1" customWidth="1"/>
    <col min="7" max="7" width="13.33203125" bestFit="1" customWidth="1"/>
    <col min="8" max="8" width="19.1640625" bestFit="1" customWidth="1"/>
    <col min="9" max="9" width="20.08203125" bestFit="1" customWidth="1"/>
    <col min="10" max="10" width="13.25" bestFit="1" customWidth="1"/>
    <col min="11" max="11" width="12.5" bestFit="1" customWidth="1"/>
    <col min="12" max="12" width="14.58203125" bestFit="1" customWidth="1"/>
    <col min="13" max="13" width="19.5" bestFit="1" customWidth="1"/>
    <col min="14" max="14" width="4.58203125" bestFit="1" customWidth="1"/>
    <col min="15" max="15" width="23" bestFit="1" customWidth="1"/>
  </cols>
  <sheetData>
    <row r="1" spans="1:15" ht="12.5" customHeight="1" x14ac:dyDescent="0.3">
      <c r="A1" s="5" t="s">
        <v>0</v>
      </c>
      <c r="B1" s="5"/>
      <c r="C1" s="5"/>
      <c r="D1" s="5"/>
      <c r="E1" s="5"/>
      <c r="F1" s="5"/>
      <c r="G1" s="5"/>
      <c r="H1" s="5"/>
      <c r="I1" s="5"/>
      <c r="J1" s="5"/>
      <c r="K1" s="5"/>
      <c r="L1" s="5"/>
      <c r="M1" s="5"/>
      <c r="N1" s="5"/>
      <c r="O1" s="5"/>
    </row>
    <row r="2" spans="1:15" ht="14" x14ac:dyDescent="0.3">
      <c r="A2" s="4" t="s">
        <v>1</v>
      </c>
      <c r="B2" s="1" t="s">
        <v>2</v>
      </c>
      <c r="C2" s="1" t="s">
        <v>3</v>
      </c>
      <c r="D2" s="1" t="s">
        <v>4</v>
      </c>
      <c r="E2" s="1" t="s">
        <v>5</v>
      </c>
      <c r="F2" s="1" t="s">
        <v>6</v>
      </c>
      <c r="G2" s="1" t="s">
        <v>7</v>
      </c>
      <c r="H2" s="1" t="s">
        <v>8</v>
      </c>
      <c r="I2" s="1" t="s">
        <v>9</v>
      </c>
      <c r="J2" s="1" t="s">
        <v>10</v>
      </c>
      <c r="K2" s="1" t="s">
        <v>11</v>
      </c>
      <c r="L2" s="1" t="s">
        <v>12</v>
      </c>
      <c r="M2" s="1" t="s">
        <v>13</v>
      </c>
      <c r="N2" s="1" t="s">
        <v>14</v>
      </c>
      <c r="O2" s="1" t="s">
        <v>15</v>
      </c>
    </row>
    <row r="3" spans="1:15" ht="14" x14ac:dyDescent="0.3">
      <c r="A3" s="4"/>
      <c r="B3" s="1">
        <v>2023</v>
      </c>
      <c r="C3" s="1">
        <v>2023</v>
      </c>
      <c r="D3" s="1">
        <v>2023</v>
      </c>
      <c r="E3" s="1">
        <v>2023</v>
      </c>
      <c r="F3" s="1">
        <v>2023</v>
      </c>
      <c r="G3" s="1">
        <v>2023</v>
      </c>
      <c r="H3" s="1">
        <v>2023</v>
      </c>
      <c r="I3" s="1">
        <v>2023</v>
      </c>
      <c r="J3" s="1">
        <v>2023</v>
      </c>
      <c r="K3" s="1">
        <v>2023</v>
      </c>
      <c r="L3" s="1">
        <v>2023</v>
      </c>
      <c r="M3" s="1">
        <v>2023</v>
      </c>
      <c r="N3" s="1">
        <v>2023</v>
      </c>
      <c r="O3" s="1">
        <v>2023</v>
      </c>
    </row>
    <row r="4" spans="1:15" ht="14" x14ac:dyDescent="0.3">
      <c r="A4" s="2" t="s">
        <v>16</v>
      </c>
      <c r="B4" s="3">
        <f>506558</f>
        <v>506558</v>
      </c>
      <c r="C4" s="3">
        <f>7945960</f>
        <v>7945960</v>
      </c>
      <c r="D4" s="3">
        <f>4512110</f>
        <v>4512110</v>
      </c>
      <c r="E4" s="3">
        <f>5269376</f>
        <v>5269376</v>
      </c>
      <c r="F4" s="3">
        <f>(4512110+5269376)</f>
        <v>9781486</v>
      </c>
      <c r="G4" s="3">
        <f>1521708</f>
        <v>1521708</v>
      </c>
      <c r="H4" s="3">
        <f>1674722</f>
        <v>1674722</v>
      </c>
      <c r="I4" s="3">
        <f>13805040</f>
        <v>13805040</v>
      </c>
      <c r="J4" s="3">
        <f>(506558+7945960+(4512110+5269376)+1521708+1674722+13805040)</f>
        <v>35235474</v>
      </c>
      <c r="K4" s="3">
        <f>90274</f>
        <v>90274</v>
      </c>
      <c r="L4" s="3">
        <f>2664607</f>
        <v>2664607</v>
      </c>
      <c r="M4" s="3">
        <f>(90274+2664607)</f>
        <v>2754881</v>
      </c>
      <c r="N4" s="3">
        <f>4756458</f>
        <v>4756458</v>
      </c>
      <c r="O4" s="3">
        <f>((506558+7945960+(4512110+5269376)+1521708+1674722+13805040)+(90274+2664607)+4756458)</f>
        <v>42746813</v>
      </c>
    </row>
    <row r="5" spans="1:15" ht="14" x14ac:dyDescent="0.3">
      <c r="A5" s="2" t="s">
        <v>17</v>
      </c>
      <c r="B5" s="3">
        <f>0</f>
        <v>0</v>
      </c>
      <c r="C5" s="3">
        <f>0</f>
        <v>0</v>
      </c>
      <c r="D5" s="3">
        <f>0</f>
        <v>0</v>
      </c>
      <c r="E5" s="3">
        <f>0</f>
        <v>0</v>
      </c>
      <c r="F5" s="3">
        <f>(0+0)</f>
        <v>0</v>
      </c>
      <c r="G5" s="3">
        <f>0</f>
        <v>0</v>
      </c>
      <c r="H5" s="3">
        <f>0</f>
        <v>0</v>
      </c>
      <c r="I5" s="3">
        <f>2643388</f>
        <v>2643388</v>
      </c>
      <c r="J5" s="3">
        <f>(0+0+(0+0)+0+0+2643388)</f>
        <v>2643388</v>
      </c>
      <c r="K5" s="3">
        <f>1986723</f>
        <v>1986723</v>
      </c>
      <c r="L5" s="3">
        <f>622787</f>
        <v>622787</v>
      </c>
      <c r="M5" s="3">
        <f>(1986723+622787)</f>
        <v>2609510</v>
      </c>
      <c r="N5" s="3">
        <f>4341281</f>
        <v>4341281</v>
      </c>
      <c r="O5" s="3">
        <f>((0+0+(0+0)+0+0+2643388)+(1986723+622787)+4341281)</f>
        <v>9594179</v>
      </c>
    </row>
    <row r="6" spans="1:15" ht="14" x14ac:dyDescent="0.3">
      <c r="A6" s="2" t="s">
        <v>18</v>
      </c>
      <c r="B6" s="3">
        <f>2862881</f>
        <v>2862881</v>
      </c>
      <c r="C6" s="3">
        <f>5525424</f>
        <v>5525424</v>
      </c>
      <c r="D6" s="3">
        <f>7472426</f>
        <v>7472426</v>
      </c>
      <c r="E6" s="3">
        <f>8716216</f>
        <v>8716216</v>
      </c>
      <c r="F6" s="3">
        <f>(7472426+8716216)</f>
        <v>16188642</v>
      </c>
      <c r="G6" s="3">
        <f>860103</f>
        <v>860103</v>
      </c>
      <c r="H6" s="3">
        <f>2013817</f>
        <v>2013817</v>
      </c>
      <c r="I6" s="3">
        <f>3847473</f>
        <v>3847473</v>
      </c>
      <c r="J6" s="3">
        <f>(2862881+5525424+(7472426+8716216)+860103+2013817+3847473)</f>
        <v>31298340</v>
      </c>
      <c r="K6" s="3">
        <f>86898</f>
        <v>86898</v>
      </c>
      <c r="L6" s="3">
        <f>646345</f>
        <v>646345</v>
      </c>
      <c r="M6" s="3">
        <f>(86898+646345)</f>
        <v>733243</v>
      </c>
      <c r="N6" s="3">
        <f>2273862</f>
        <v>2273862</v>
      </c>
      <c r="O6" s="3">
        <f>((2862881+5525424+(7472426+8716216)+860103+2013817+3847473)+(86898+646345)+2273862)</f>
        <v>34305445</v>
      </c>
    </row>
    <row r="7" spans="1:15" ht="14" x14ac:dyDescent="0.3">
      <c r="A7" s="2" t="s">
        <v>19</v>
      </c>
      <c r="B7" s="3">
        <f>308316</f>
        <v>308316</v>
      </c>
      <c r="C7" s="3">
        <f>2772148</f>
        <v>2772148</v>
      </c>
      <c r="D7" s="3">
        <f>3181585</f>
        <v>3181585</v>
      </c>
      <c r="E7" s="3">
        <f>3326343</f>
        <v>3326343</v>
      </c>
      <c r="F7" s="3">
        <f>(3181585+3326343)</f>
        <v>6507928</v>
      </c>
      <c r="G7" s="3">
        <f>460406</f>
        <v>460406</v>
      </c>
      <c r="H7" s="3">
        <f>1279203</f>
        <v>1279203</v>
      </c>
      <c r="I7" s="3">
        <f>557653</f>
        <v>557653</v>
      </c>
      <c r="J7" s="3">
        <f>(308316+2772148+(3181585+3326343)+460406+1279203+557653)</f>
        <v>11885654</v>
      </c>
      <c r="K7" s="3">
        <f>0</f>
        <v>0</v>
      </c>
      <c r="L7" s="3">
        <f>0</f>
        <v>0</v>
      </c>
      <c r="M7" s="3">
        <f>(0+0)</f>
        <v>0</v>
      </c>
      <c r="N7" s="3">
        <f>2095206</f>
        <v>2095206</v>
      </c>
      <c r="O7" s="3">
        <f>((308316+2772148+(3181585+3326343)+460406+1279203+557653)+(0+0)+2095206)</f>
        <v>13980860</v>
      </c>
    </row>
    <row r="8" spans="1:15" ht="14" x14ac:dyDescent="0.3">
      <c r="A8" s="2" t="s">
        <v>20</v>
      </c>
      <c r="B8" s="3">
        <f>6743</f>
        <v>6743</v>
      </c>
      <c r="C8" s="3">
        <f>192512</f>
        <v>192512</v>
      </c>
      <c r="D8" s="3">
        <f>4284014</f>
        <v>4284014</v>
      </c>
      <c r="E8" s="3">
        <f>5006204</f>
        <v>5006204</v>
      </c>
      <c r="F8" s="3">
        <f>(4284014+5006204)</f>
        <v>9290218</v>
      </c>
      <c r="G8" s="3">
        <f>169739</f>
        <v>169739</v>
      </c>
      <c r="H8" s="3">
        <f>404742</f>
        <v>404742</v>
      </c>
      <c r="I8" s="3">
        <f>151818</f>
        <v>151818</v>
      </c>
      <c r="J8" s="3">
        <f>(6743+192512+(4284014+5006204)+169739+404742+151818)</f>
        <v>10215772</v>
      </c>
      <c r="K8" s="3">
        <f>922863</f>
        <v>922863</v>
      </c>
      <c r="L8" s="3">
        <f>5180241</f>
        <v>5180241</v>
      </c>
      <c r="M8" s="3">
        <f>(922863+5180241)</f>
        <v>6103104</v>
      </c>
      <c r="N8" s="3">
        <f>151710878</f>
        <v>151710878</v>
      </c>
      <c r="O8" s="3">
        <f>((6743+192512+(4284014+5006204)+169739+404742+151818)+(922863+5180241)+151710878)</f>
        <v>168029754</v>
      </c>
    </row>
    <row r="9" spans="1:15" ht="14" x14ac:dyDescent="0.3">
      <c r="A9" s="2" t="s">
        <v>21</v>
      </c>
      <c r="B9" s="3">
        <f>3784214</f>
        <v>3784214</v>
      </c>
      <c r="C9" s="3">
        <f>12040168</f>
        <v>12040168</v>
      </c>
      <c r="D9" s="3">
        <f>4828294</f>
        <v>4828294</v>
      </c>
      <c r="E9" s="3">
        <f>4199790</f>
        <v>4199790</v>
      </c>
      <c r="F9" s="3">
        <f>(4828294+4199790)</f>
        <v>9028084</v>
      </c>
      <c r="G9" s="3">
        <f>5687657</f>
        <v>5687657</v>
      </c>
      <c r="H9" s="3">
        <f>6275258</f>
        <v>6275258</v>
      </c>
      <c r="I9" s="3">
        <f>1214121</f>
        <v>1214121</v>
      </c>
      <c r="J9" s="3">
        <f>(3784214+12040168+(4828294+4199790)+5687657+6275258+1214121)</f>
        <v>38029502</v>
      </c>
      <c r="K9" s="3">
        <f>0</f>
        <v>0</v>
      </c>
      <c r="L9" s="3">
        <f>3026394</f>
        <v>3026394</v>
      </c>
      <c r="M9" s="3">
        <f>(0+3026394)</f>
        <v>3026394</v>
      </c>
      <c r="N9" s="3">
        <f>18175510</f>
        <v>18175510</v>
      </c>
      <c r="O9" s="3">
        <f>((3784214+12040168+(4828294+4199790)+5687657+6275258+1214121)+(0+3026394)+18175510)</f>
        <v>59231406</v>
      </c>
    </row>
    <row r="10" spans="1:15" ht="14" x14ac:dyDescent="0.3">
      <c r="A10" s="2" t="s">
        <v>22</v>
      </c>
      <c r="B10" s="3">
        <f>3023</f>
        <v>3023</v>
      </c>
      <c r="C10" s="3">
        <f>2034307</f>
        <v>2034307</v>
      </c>
      <c r="D10" s="3">
        <f>3226860</f>
        <v>3226860</v>
      </c>
      <c r="E10" s="3">
        <f>4737649</f>
        <v>4737649</v>
      </c>
      <c r="F10" s="3">
        <f>(3226860+4737649)</f>
        <v>7964509</v>
      </c>
      <c r="G10" s="3">
        <f>401121</f>
        <v>401121</v>
      </c>
      <c r="H10" s="3">
        <f>367108</f>
        <v>367108</v>
      </c>
      <c r="I10" s="3">
        <f>148997</f>
        <v>148997</v>
      </c>
      <c r="J10" s="3">
        <f>(3023+2034307+(3226860+4737649)+401121+367108+148997)</f>
        <v>10919065</v>
      </c>
      <c r="K10" s="3">
        <f>2102673</f>
        <v>2102673</v>
      </c>
      <c r="L10" s="3">
        <f>13137489</f>
        <v>13137489</v>
      </c>
      <c r="M10" s="3">
        <f>(2102673+13137489)</f>
        <v>15240162</v>
      </c>
      <c r="N10" s="3">
        <f>7938874</f>
        <v>7938874</v>
      </c>
      <c r="O10" s="3">
        <f>((3023+2034307+(3226860+4737649)+401121+367108+148997)+(2102673+13137489)+7938874)</f>
        <v>34098101</v>
      </c>
    </row>
    <row r="11" spans="1:15" ht="14" x14ac:dyDescent="0.3">
      <c r="A11" s="2" t="s">
        <v>23</v>
      </c>
      <c r="B11" s="3">
        <f>32837</f>
        <v>32837</v>
      </c>
      <c r="C11" s="3">
        <f>138828</f>
        <v>138828</v>
      </c>
      <c r="D11" s="3">
        <f>393033</f>
        <v>393033</v>
      </c>
      <c r="E11" s="3">
        <f>1211516</f>
        <v>1211516</v>
      </c>
      <c r="F11" s="3">
        <f>(393033+1211516)</f>
        <v>1604549</v>
      </c>
      <c r="G11" s="3">
        <f>5850</f>
        <v>5850</v>
      </c>
      <c r="H11" s="3">
        <f>8233</f>
        <v>8233</v>
      </c>
      <c r="I11" s="3">
        <f>16080</f>
        <v>16080</v>
      </c>
      <c r="J11" s="3">
        <f>(32837+138828+(393033+1211516)+5850+8233+16080)</f>
        <v>1806377</v>
      </c>
      <c r="K11" s="3">
        <f>0</f>
        <v>0</v>
      </c>
      <c r="L11" s="3">
        <f>0</f>
        <v>0</v>
      </c>
      <c r="M11" s="3">
        <f>(0+0)</f>
        <v>0</v>
      </c>
      <c r="N11" s="3">
        <f>0</f>
        <v>0</v>
      </c>
      <c r="O11" s="3">
        <f>((32837+138828+(393033+1211516)+5850+8233+16080)+(0+0)+0)</f>
        <v>1806377</v>
      </c>
    </row>
    <row r="12" spans="1:15" ht="14" x14ac:dyDescent="0.3">
      <c r="A12" s="2" t="s">
        <v>24</v>
      </c>
      <c r="B12" s="3">
        <f>17695</f>
        <v>17695</v>
      </c>
      <c r="C12" s="3">
        <f>319804</f>
        <v>319804</v>
      </c>
      <c r="D12" s="3">
        <f>251844</f>
        <v>251844</v>
      </c>
      <c r="E12" s="3">
        <f>51233</f>
        <v>51233</v>
      </c>
      <c r="F12" s="3">
        <f>(251844+51233)</f>
        <v>303077</v>
      </c>
      <c r="G12" s="3">
        <f>45947</f>
        <v>45947</v>
      </c>
      <c r="H12" s="3">
        <f>22478</f>
        <v>22478</v>
      </c>
      <c r="I12" s="3">
        <f>15070</f>
        <v>15070</v>
      </c>
      <c r="J12" s="3">
        <f>(17695+319804+(251844+51233)+45947+22478+15070)</f>
        <v>724071</v>
      </c>
      <c r="K12" s="3">
        <f>0</f>
        <v>0</v>
      </c>
      <c r="L12" s="3">
        <f>0</f>
        <v>0</v>
      </c>
      <c r="M12" s="3">
        <f>(0+0)</f>
        <v>0</v>
      </c>
      <c r="N12" s="3">
        <f>792339</f>
        <v>792339</v>
      </c>
      <c r="O12" s="3">
        <f>((17695+319804+(251844+51233)+45947+22478+15070)+(0+0)+792339)</f>
        <v>1516410</v>
      </c>
    </row>
    <row r="13" spans="1:15" ht="14" x14ac:dyDescent="0.3">
      <c r="A13" s="2" t="s">
        <v>25</v>
      </c>
      <c r="B13" s="3">
        <f>640773</f>
        <v>640773</v>
      </c>
      <c r="C13" s="3">
        <f>4283700</f>
        <v>4283700</v>
      </c>
      <c r="D13" s="3">
        <f>3517895</f>
        <v>3517895</v>
      </c>
      <c r="E13" s="3">
        <f>1587059</f>
        <v>1587059</v>
      </c>
      <c r="F13" s="3">
        <f>(3517895+1587059)</f>
        <v>5104954</v>
      </c>
      <c r="G13" s="3">
        <f>2417008</f>
        <v>2417008</v>
      </c>
      <c r="H13" s="3">
        <f>1781359</f>
        <v>1781359</v>
      </c>
      <c r="I13" s="3">
        <f>244652</f>
        <v>244652</v>
      </c>
      <c r="J13" s="3">
        <f>(640773+4283700+(3517895+1587059)+2417008+1781359+244652)</f>
        <v>14472446</v>
      </c>
      <c r="K13" s="3">
        <f>4811806</f>
        <v>4811806</v>
      </c>
      <c r="L13" s="3">
        <f>1075352</f>
        <v>1075352</v>
      </c>
      <c r="M13" s="3">
        <f>(4811806+1075352)</f>
        <v>5887158</v>
      </c>
      <c r="N13" s="3">
        <f>2338775</f>
        <v>2338775</v>
      </c>
      <c r="O13" s="3">
        <f>((640773+4283700+(3517895+1587059)+2417008+1781359+244652)+(4811806+1075352)+2338775)</f>
        <v>22698379</v>
      </c>
    </row>
    <row r="14" spans="1:15" ht="14" x14ac:dyDescent="0.3">
      <c r="A14" s="2" t="s">
        <v>26</v>
      </c>
      <c r="B14" s="3">
        <f>323078</f>
        <v>323078</v>
      </c>
      <c r="C14" s="3">
        <f>4978273</f>
        <v>4978273</v>
      </c>
      <c r="D14" s="3">
        <f>345207</f>
        <v>345207</v>
      </c>
      <c r="E14" s="3">
        <f>7898</f>
        <v>7898</v>
      </c>
      <c r="F14" s="3">
        <f>(345207+7898)</f>
        <v>353105</v>
      </c>
      <c r="G14" s="3">
        <f>964170</f>
        <v>964170</v>
      </c>
      <c r="H14" s="3">
        <f>467501</f>
        <v>467501</v>
      </c>
      <c r="I14" s="3">
        <f>506947</f>
        <v>506947</v>
      </c>
      <c r="J14" s="3">
        <f>(323078+4978273+(345207+7898)+964170+467501+506947)</f>
        <v>7593074</v>
      </c>
      <c r="K14" s="3">
        <f>573744</f>
        <v>573744</v>
      </c>
      <c r="L14" s="3">
        <f>103004</f>
        <v>103004</v>
      </c>
      <c r="M14" s="3">
        <f>(573744+103004)</f>
        <v>676748</v>
      </c>
      <c r="N14" s="3">
        <f>2253688</f>
        <v>2253688</v>
      </c>
      <c r="O14" s="3">
        <f>((323078+4978273+(345207+7898)+964170+467501+506947)+(573744+103004)+2253688)</f>
        <v>10523510</v>
      </c>
    </row>
    <row r="15" spans="1:15" ht="14" x14ac:dyDescent="0.3">
      <c r="A15" s="2" t="s">
        <v>27</v>
      </c>
      <c r="B15" s="3">
        <f>0</f>
        <v>0</v>
      </c>
      <c r="C15" s="3">
        <f>0</f>
        <v>0</v>
      </c>
      <c r="D15" s="3">
        <f>0</f>
        <v>0</v>
      </c>
      <c r="E15" s="3">
        <f>0</f>
        <v>0</v>
      </c>
      <c r="F15" s="3">
        <f>(0+0)</f>
        <v>0</v>
      </c>
      <c r="G15" s="3">
        <f>0</f>
        <v>0</v>
      </c>
      <c r="H15" s="3">
        <f>0</f>
        <v>0</v>
      </c>
      <c r="I15" s="3">
        <f>0</f>
        <v>0</v>
      </c>
      <c r="J15" s="3">
        <f>(0+0+(0+0)+0+0+0)</f>
        <v>0</v>
      </c>
      <c r="K15" s="3">
        <f>0</f>
        <v>0</v>
      </c>
      <c r="L15" s="3">
        <f>0</f>
        <v>0</v>
      </c>
      <c r="M15" s="3">
        <f>(0+0)</f>
        <v>0</v>
      </c>
      <c r="N15" s="3">
        <f>4892376</f>
        <v>4892376</v>
      </c>
      <c r="O15" s="3">
        <f>((0+0+(0+0)+0+0+0)+(0+0)+4892376)</f>
        <v>4892376</v>
      </c>
    </row>
    <row r="16" spans="1:15" ht="14" x14ac:dyDescent="0.3">
      <c r="A16" s="2" t="s">
        <v>28</v>
      </c>
      <c r="B16" s="3">
        <f>6757249</f>
        <v>6757249</v>
      </c>
      <c r="C16" s="3">
        <f>25433152</f>
        <v>25433152</v>
      </c>
      <c r="D16" s="3">
        <f>6837135</f>
        <v>6837135</v>
      </c>
      <c r="E16" s="3">
        <f>9391504</f>
        <v>9391504</v>
      </c>
      <c r="F16" s="3">
        <f>(6837135+9391504)</f>
        <v>16228639</v>
      </c>
      <c r="G16" s="3">
        <f>2340453</f>
        <v>2340453</v>
      </c>
      <c r="H16" s="3">
        <f>2052630</f>
        <v>2052630</v>
      </c>
      <c r="I16" s="3">
        <f>4009343</f>
        <v>4009343</v>
      </c>
      <c r="J16" s="3">
        <f>(6757249+25433152+(6837135+9391504)+2340453+2052630+4009343)</f>
        <v>56821466</v>
      </c>
      <c r="K16" s="3">
        <f>4529029</f>
        <v>4529029</v>
      </c>
      <c r="L16" s="3">
        <f>7597893</f>
        <v>7597893</v>
      </c>
      <c r="M16" s="3">
        <f>(4529029+7597893)</f>
        <v>12126922</v>
      </c>
      <c r="N16" s="3">
        <f>4558312</f>
        <v>4558312</v>
      </c>
      <c r="O16" s="3">
        <f>((6757249+25433152+(6837135+9391504)+2340453+2052630+4009343)+(4529029+7597893)+4558312)</f>
        <v>73506700</v>
      </c>
    </row>
    <row r="17" spans="1:15" ht="14" x14ac:dyDescent="0.3">
      <c r="A17" s="2" t="s">
        <v>29</v>
      </c>
      <c r="B17" s="3">
        <f>985700</f>
        <v>985700</v>
      </c>
      <c r="C17" s="3">
        <f>5050003</f>
        <v>5050003</v>
      </c>
      <c r="D17" s="3">
        <f>285090</f>
        <v>285090</v>
      </c>
      <c r="E17" s="3">
        <f>0</f>
        <v>0</v>
      </c>
      <c r="F17" s="3">
        <f>(285090+0)</f>
        <v>285090</v>
      </c>
      <c r="G17" s="3">
        <f>540226</f>
        <v>540226</v>
      </c>
      <c r="H17" s="3">
        <f>543430</f>
        <v>543430</v>
      </c>
      <c r="I17" s="3">
        <f>398900</f>
        <v>398900</v>
      </c>
      <c r="J17" s="3">
        <f>(985700+5050003+(285090+0)+540226+543430+398900)</f>
        <v>7803349</v>
      </c>
      <c r="K17" s="3">
        <f>0</f>
        <v>0</v>
      </c>
      <c r="L17" s="3">
        <f>530763</f>
        <v>530763</v>
      </c>
      <c r="M17" s="3">
        <f>(0+530763)</f>
        <v>530763</v>
      </c>
      <c r="N17" s="3">
        <f>1414109</f>
        <v>1414109</v>
      </c>
      <c r="O17" s="3">
        <f>((985700+5050003+(285090+0)+540226+543430+398900)+(0+530763)+1414109)</f>
        <v>9748221</v>
      </c>
    </row>
    <row r="18" spans="1:15" ht="14" x14ac:dyDescent="0.3">
      <c r="A18" s="2" t="s">
        <v>30</v>
      </c>
      <c r="B18" s="3">
        <f>418325</f>
        <v>418325</v>
      </c>
      <c r="C18" s="3">
        <f>7576770</f>
        <v>7576770</v>
      </c>
      <c r="D18" s="3">
        <f>3567812</f>
        <v>3567812</v>
      </c>
      <c r="E18" s="3">
        <f>3333027</f>
        <v>3333027</v>
      </c>
      <c r="F18" s="3">
        <f>(3567812+3333027)</f>
        <v>6900839</v>
      </c>
      <c r="G18" s="3">
        <f>1011896</f>
        <v>1011896</v>
      </c>
      <c r="H18" s="3">
        <f>1539591</f>
        <v>1539591</v>
      </c>
      <c r="I18" s="3">
        <f>272112</f>
        <v>272112</v>
      </c>
      <c r="J18" s="3">
        <f>(418325+7576770+(3567812+3333027)+1011896+1539591+272112)</f>
        <v>17719533</v>
      </c>
      <c r="K18" s="3">
        <f>23850</f>
        <v>23850</v>
      </c>
      <c r="L18" s="3">
        <f>297116</f>
        <v>297116</v>
      </c>
      <c r="M18" s="3">
        <f>(23850+297116)</f>
        <v>320966</v>
      </c>
      <c r="N18" s="3">
        <f>3642490</f>
        <v>3642490</v>
      </c>
      <c r="O18" s="3">
        <f>((418325+7576770+(3567812+3333027)+1011896+1539591+272112)+(23850+297116)+3642490)</f>
        <v>21682989</v>
      </c>
    </row>
    <row r="19" spans="1:15" ht="14" x14ac:dyDescent="0.3">
      <c r="A19" s="2" t="s">
        <v>31</v>
      </c>
      <c r="B19" s="3">
        <f>655832</f>
        <v>655832</v>
      </c>
      <c r="C19" s="3">
        <f>5167185</f>
        <v>5167185</v>
      </c>
      <c r="D19" s="3">
        <f>5501896</f>
        <v>5501896</v>
      </c>
      <c r="E19" s="3">
        <f>8922263</f>
        <v>8922263</v>
      </c>
      <c r="F19" s="3">
        <f>(5501896+8922263)</f>
        <v>14424159</v>
      </c>
      <c r="G19" s="3">
        <f>287102</f>
        <v>287102</v>
      </c>
      <c r="H19" s="3">
        <f>1739456</f>
        <v>1739456</v>
      </c>
      <c r="I19" s="3">
        <f>375737</f>
        <v>375737</v>
      </c>
      <c r="J19" s="3">
        <f>(655832+5167185+(5501896+8922263)+287102+1739456+375737)</f>
        <v>22649471</v>
      </c>
      <c r="K19" s="3">
        <f>119941</f>
        <v>119941</v>
      </c>
      <c r="L19" s="3">
        <f>602046</f>
        <v>602046</v>
      </c>
      <c r="M19" s="3">
        <f>(119941+602046)</f>
        <v>721987</v>
      </c>
      <c r="N19" s="3">
        <f>1429489</f>
        <v>1429489</v>
      </c>
      <c r="O19" s="3">
        <f>((655832+5167185+(5501896+8922263)+287102+1739456+375737)+(119941+602046)+1429489)</f>
        <v>24800947</v>
      </c>
    </row>
    <row r="20" spans="1:15" ht="14" x14ac:dyDescent="0.3">
      <c r="A20" s="2" t="s">
        <v>32</v>
      </c>
      <c r="B20" s="3">
        <f>762252</f>
        <v>762252</v>
      </c>
      <c r="C20" s="3">
        <f>1536207</f>
        <v>1536207</v>
      </c>
      <c r="D20" s="3">
        <f>5539242</f>
        <v>5539242</v>
      </c>
      <c r="E20" s="3">
        <f>1622510</f>
        <v>1622510</v>
      </c>
      <c r="F20" s="3">
        <f>(5539242+1622510)</f>
        <v>7161752</v>
      </c>
      <c r="G20" s="3">
        <f>646519</f>
        <v>646519</v>
      </c>
      <c r="H20" s="3">
        <f>817649</f>
        <v>817649</v>
      </c>
      <c r="I20" s="3">
        <f>1140275</f>
        <v>1140275</v>
      </c>
      <c r="J20" s="3">
        <f>(762252+1536207+(5539242+1622510)+646519+817649+1140275)</f>
        <v>12064654</v>
      </c>
      <c r="K20" s="3">
        <f>4665722</f>
        <v>4665722</v>
      </c>
      <c r="L20" s="3">
        <f>12020128</f>
        <v>12020128</v>
      </c>
      <c r="M20" s="3">
        <f>(4665722+12020128)</f>
        <v>16685850</v>
      </c>
      <c r="N20" s="3">
        <f>3599460</f>
        <v>3599460</v>
      </c>
      <c r="O20" s="3">
        <f>((762252+1536207+(5539242+1622510)+646519+817649+1140275)+(4665722+12020128)+3599460)</f>
        <v>32349964</v>
      </c>
    </row>
    <row r="21" spans="1:15" ht="14" x14ac:dyDescent="0.3">
      <c r="A21" s="5" t="s">
        <v>33</v>
      </c>
      <c r="B21" s="5"/>
      <c r="C21" s="5"/>
      <c r="D21" s="5"/>
      <c r="E21" s="5"/>
      <c r="F21" s="5"/>
      <c r="G21" s="5"/>
      <c r="H21" s="5"/>
      <c r="I21" s="5"/>
      <c r="J21" s="5"/>
      <c r="K21" s="5"/>
      <c r="L21" s="5"/>
      <c r="M21" s="5"/>
      <c r="N21" s="5"/>
      <c r="O21" s="5"/>
    </row>
    <row r="22" spans="1:15" ht="14" x14ac:dyDescent="0.3">
      <c r="A22" s="4" t="s">
        <v>1</v>
      </c>
      <c r="B22" s="1" t="s">
        <v>2</v>
      </c>
      <c r="C22" s="1" t="s">
        <v>3</v>
      </c>
      <c r="D22" s="1" t="s">
        <v>4</v>
      </c>
      <c r="E22" s="1" t="s">
        <v>5</v>
      </c>
      <c r="F22" s="1" t="s">
        <v>6</v>
      </c>
      <c r="G22" s="1" t="s">
        <v>7</v>
      </c>
      <c r="H22" s="1" t="s">
        <v>8</v>
      </c>
      <c r="I22" s="1" t="s">
        <v>9</v>
      </c>
      <c r="J22" s="1" t="s">
        <v>10</v>
      </c>
      <c r="K22" s="1" t="s">
        <v>11</v>
      </c>
      <c r="L22" s="1" t="s">
        <v>12</v>
      </c>
      <c r="M22" s="1" t="s">
        <v>13</v>
      </c>
      <c r="N22" s="1" t="s">
        <v>14</v>
      </c>
      <c r="O22" s="1" t="s">
        <v>15</v>
      </c>
    </row>
    <row r="23" spans="1:15" ht="14" x14ac:dyDescent="0.3">
      <c r="A23" s="4"/>
      <c r="B23" s="1">
        <v>2023</v>
      </c>
      <c r="C23" s="1">
        <v>2023</v>
      </c>
      <c r="D23" s="1">
        <v>2023</v>
      </c>
      <c r="E23" s="1">
        <v>2023</v>
      </c>
      <c r="F23" s="1">
        <v>2023</v>
      </c>
      <c r="G23" s="1">
        <v>2023</v>
      </c>
      <c r="H23" s="1">
        <v>2023</v>
      </c>
      <c r="I23" s="1">
        <v>2023</v>
      </c>
      <c r="J23" s="1">
        <v>2023</v>
      </c>
      <c r="K23" s="1">
        <v>2023</v>
      </c>
      <c r="L23" s="1">
        <v>2023</v>
      </c>
      <c r="M23" s="1">
        <v>2023</v>
      </c>
      <c r="N23" s="1">
        <v>2023</v>
      </c>
      <c r="O23" s="1">
        <v>2023</v>
      </c>
    </row>
    <row r="24" spans="1:15" ht="14" x14ac:dyDescent="0.3">
      <c r="A24" s="2" t="s">
        <v>16</v>
      </c>
      <c r="B24" s="3">
        <f>49623</f>
        <v>49623</v>
      </c>
      <c r="C24" s="3">
        <f>8713233</f>
        <v>8713233</v>
      </c>
      <c r="D24" s="3">
        <f>2779935</f>
        <v>2779935</v>
      </c>
      <c r="E24" s="3">
        <f>2273472</f>
        <v>2273472</v>
      </c>
      <c r="F24" s="3">
        <f>(2779935+2273472)</f>
        <v>5053407</v>
      </c>
      <c r="G24" s="3">
        <f>125614</f>
        <v>125614</v>
      </c>
      <c r="H24" s="3">
        <f>4838761</f>
        <v>4838761</v>
      </c>
      <c r="I24" s="3">
        <f>221178</f>
        <v>221178</v>
      </c>
      <c r="J24" s="3">
        <f>(49623+8713233+(2779935+2273472)+125614+4838761+221178)</f>
        <v>19001816</v>
      </c>
      <c r="K24" s="3">
        <f>96368</f>
        <v>96368</v>
      </c>
      <c r="L24" s="3">
        <f>1785565</f>
        <v>1785565</v>
      </c>
      <c r="M24" s="3">
        <f>(96368+1785565)</f>
        <v>1881933</v>
      </c>
      <c r="N24" s="3">
        <f>5005024</f>
        <v>5005024</v>
      </c>
      <c r="O24" s="3">
        <f>((49623+8713233+(2779935+2273472)+125614+4838761+221178)+(96368+1785565)+5005024)</f>
        <v>25888773</v>
      </c>
    </row>
    <row r="25" spans="1:15" ht="14" x14ac:dyDescent="0.3">
      <c r="A25" s="2" t="s">
        <v>17</v>
      </c>
      <c r="B25" s="3">
        <f>0</f>
        <v>0</v>
      </c>
      <c r="C25" s="3">
        <f>0</f>
        <v>0</v>
      </c>
      <c r="D25" s="3">
        <f>0</f>
        <v>0</v>
      </c>
      <c r="E25" s="3">
        <f>0</f>
        <v>0</v>
      </c>
      <c r="F25" s="3">
        <f>(0+0)</f>
        <v>0</v>
      </c>
      <c r="G25" s="3">
        <f>0</f>
        <v>0</v>
      </c>
      <c r="H25" s="3">
        <f>0</f>
        <v>0</v>
      </c>
      <c r="I25" s="3">
        <f>421064</f>
        <v>421064</v>
      </c>
      <c r="J25" s="3">
        <f>(0+0+(0+0)+0+0+421064)</f>
        <v>421064</v>
      </c>
      <c r="K25" s="3">
        <f>56526</f>
        <v>56526</v>
      </c>
      <c r="L25" s="3">
        <f>103676</f>
        <v>103676</v>
      </c>
      <c r="M25" s="3">
        <f>(56526+103676)</f>
        <v>160202</v>
      </c>
      <c r="N25" s="3">
        <f>2837805</f>
        <v>2837805</v>
      </c>
      <c r="O25" s="3">
        <f>((0+0+(0+0)+0+0+421064)+(56526+103676)+2837805)</f>
        <v>3419071</v>
      </c>
    </row>
    <row r="26" spans="1:15" ht="14" x14ac:dyDescent="0.3">
      <c r="A26" s="2" t="s">
        <v>18</v>
      </c>
      <c r="B26" s="3">
        <f>684141</f>
        <v>684141</v>
      </c>
      <c r="C26" s="3">
        <f>323677</f>
        <v>323677</v>
      </c>
      <c r="D26" s="3">
        <f>6207474</f>
        <v>6207474</v>
      </c>
      <c r="E26" s="3">
        <f>6938000</f>
        <v>6938000</v>
      </c>
      <c r="F26" s="3">
        <f>(6207474+6938000)</f>
        <v>13145474</v>
      </c>
      <c r="G26" s="3">
        <f>67836</f>
        <v>67836</v>
      </c>
      <c r="H26" s="3">
        <f>152299</f>
        <v>152299</v>
      </c>
      <c r="I26" s="3">
        <f>1280934</f>
        <v>1280934</v>
      </c>
      <c r="J26" s="3">
        <f>(684141+323677+(6207474+6938000)+67836+152299+1280934)</f>
        <v>15654361</v>
      </c>
      <c r="K26" s="3">
        <f>5694</f>
        <v>5694</v>
      </c>
      <c r="L26" s="3">
        <f>1685520</f>
        <v>1685520</v>
      </c>
      <c r="M26" s="3">
        <f>(5694+1685520)</f>
        <v>1691214</v>
      </c>
      <c r="N26" s="3">
        <f>2072313</f>
        <v>2072313</v>
      </c>
      <c r="O26" s="3">
        <f>((684141+323677+(6207474+6938000)+67836+152299+1280934)+(5694+1685520)+2072313)</f>
        <v>19417888</v>
      </c>
    </row>
    <row r="27" spans="1:15" ht="14" x14ac:dyDescent="0.3">
      <c r="A27" s="2" t="s">
        <v>19</v>
      </c>
      <c r="B27" s="3">
        <f>39873</f>
        <v>39873</v>
      </c>
      <c r="C27" s="3">
        <f>1479531</f>
        <v>1479531</v>
      </c>
      <c r="D27" s="3">
        <f>1183480</f>
        <v>1183480</v>
      </c>
      <c r="E27" s="3">
        <f>2695841</f>
        <v>2695841</v>
      </c>
      <c r="F27" s="3">
        <f>(1183480+2695841)</f>
        <v>3879321</v>
      </c>
      <c r="G27" s="3">
        <f>139308</f>
        <v>139308</v>
      </c>
      <c r="H27" s="3">
        <f>517911</f>
        <v>517911</v>
      </c>
      <c r="I27" s="3">
        <f>215146</f>
        <v>215146</v>
      </c>
      <c r="J27" s="3">
        <f>(39873+1479531+(1183480+2695841)+139308+517911+215146)</f>
        <v>6271090</v>
      </c>
      <c r="K27" s="3">
        <f>0</f>
        <v>0</v>
      </c>
      <c r="L27" s="3">
        <f>0</f>
        <v>0</v>
      </c>
      <c r="M27" s="3">
        <f>(0+0)</f>
        <v>0</v>
      </c>
      <c r="N27" s="3">
        <f>2077016</f>
        <v>2077016</v>
      </c>
      <c r="O27" s="3">
        <f>((39873+1479531+(1183480+2695841)+139308+517911+215146)+(0+0)+2077016)</f>
        <v>8348106</v>
      </c>
    </row>
    <row r="28" spans="1:15" ht="14" x14ac:dyDescent="0.3">
      <c r="A28" s="2" t="s">
        <v>20</v>
      </c>
      <c r="B28" s="3">
        <f>200</f>
        <v>200</v>
      </c>
      <c r="C28" s="3">
        <f>33490</f>
        <v>33490</v>
      </c>
      <c r="D28" s="3">
        <f>3314692</f>
        <v>3314692</v>
      </c>
      <c r="E28" s="3">
        <f>5629767</f>
        <v>5629767</v>
      </c>
      <c r="F28" s="3">
        <f>(3314692+5629767)</f>
        <v>8944459</v>
      </c>
      <c r="G28" s="3">
        <f>28683</f>
        <v>28683</v>
      </c>
      <c r="H28" s="3">
        <f>335167</f>
        <v>335167</v>
      </c>
      <c r="I28" s="3">
        <f>26162</f>
        <v>26162</v>
      </c>
      <c r="J28" s="3">
        <f>(200+33490+(3314692+5629767)+28683+335167+26162)</f>
        <v>9368161</v>
      </c>
      <c r="K28" s="3">
        <f>516565</f>
        <v>516565</v>
      </c>
      <c r="L28" s="3">
        <f>2376990</f>
        <v>2376990</v>
      </c>
      <c r="M28" s="3">
        <f>(516565+2376990)</f>
        <v>2893555</v>
      </c>
      <c r="N28" s="3">
        <f>102805833</f>
        <v>102805833</v>
      </c>
      <c r="O28" s="3">
        <f>((200+33490+(3314692+5629767)+28683+335167+26162)+(516565+2376990)+102805833)</f>
        <v>115067549</v>
      </c>
    </row>
    <row r="29" spans="1:15" ht="14" x14ac:dyDescent="0.3">
      <c r="A29" s="2" t="s">
        <v>21</v>
      </c>
      <c r="B29" s="3">
        <f>1499157</f>
        <v>1499157</v>
      </c>
      <c r="C29" s="3">
        <f>2146134</f>
        <v>2146134</v>
      </c>
      <c r="D29" s="3">
        <f>3616445</f>
        <v>3616445</v>
      </c>
      <c r="E29" s="3">
        <f>4137270</f>
        <v>4137270</v>
      </c>
      <c r="F29" s="3">
        <f>(3616445+4137270)</f>
        <v>7753715</v>
      </c>
      <c r="G29" s="3">
        <f>245574</f>
        <v>245574</v>
      </c>
      <c r="H29" s="3">
        <f>2263069</f>
        <v>2263069</v>
      </c>
      <c r="I29" s="3">
        <f>129683</f>
        <v>129683</v>
      </c>
      <c r="J29" s="3">
        <f>(1499157+2146134+(3616445+4137270)+245574+2263069+129683)</f>
        <v>14037332</v>
      </c>
      <c r="K29" s="3">
        <f>0</f>
        <v>0</v>
      </c>
      <c r="L29" s="3">
        <f>2741432</f>
        <v>2741432</v>
      </c>
      <c r="M29" s="3">
        <f>(0+2741432)</f>
        <v>2741432</v>
      </c>
      <c r="N29" s="3">
        <f>14024987</f>
        <v>14024987</v>
      </c>
      <c r="O29" s="3">
        <f>((1499157+2146134+(3616445+4137270)+245574+2263069+129683)+(0+2741432)+14024987)</f>
        <v>30803751</v>
      </c>
    </row>
    <row r="30" spans="1:15" ht="14" x14ac:dyDescent="0.3">
      <c r="A30" s="2" t="s">
        <v>22</v>
      </c>
      <c r="B30" s="3">
        <f>0</f>
        <v>0</v>
      </c>
      <c r="C30" s="3">
        <f>6333092</f>
        <v>6333092</v>
      </c>
      <c r="D30" s="3">
        <f>2855225</f>
        <v>2855225</v>
      </c>
      <c r="E30" s="3">
        <f>3469990</f>
        <v>3469990</v>
      </c>
      <c r="F30" s="3">
        <f>(2855225+3469990)</f>
        <v>6325215</v>
      </c>
      <c r="G30" s="3">
        <f>213218</f>
        <v>213218</v>
      </c>
      <c r="H30" s="3">
        <f>45526</f>
        <v>45526</v>
      </c>
      <c r="I30" s="3">
        <f>1291</f>
        <v>1291</v>
      </c>
      <c r="J30" s="3">
        <f>(0+6333092+(2855225+3469990)+213218+45526+1291)</f>
        <v>12918342</v>
      </c>
      <c r="K30" s="3">
        <f>116574</f>
        <v>116574</v>
      </c>
      <c r="L30" s="3">
        <f>3935785</f>
        <v>3935785</v>
      </c>
      <c r="M30" s="3">
        <f>(116574+3935785)</f>
        <v>4052359</v>
      </c>
      <c r="N30" s="3">
        <f>5819127</f>
        <v>5819127</v>
      </c>
      <c r="O30" s="3">
        <f>((0+6333092+(2855225+3469990)+213218+45526+1291)+(116574+3935785)+5819127)</f>
        <v>22789828</v>
      </c>
    </row>
    <row r="31" spans="1:15" ht="14" x14ac:dyDescent="0.3">
      <c r="A31" s="2" t="s">
        <v>23</v>
      </c>
      <c r="B31" s="3">
        <f>0</f>
        <v>0</v>
      </c>
      <c r="C31" s="3">
        <f>32728</f>
        <v>32728</v>
      </c>
      <c r="D31" s="3">
        <f>273528</f>
        <v>273528</v>
      </c>
      <c r="E31" s="3">
        <f>494514</f>
        <v>494514</v>
      </c>
      <c r="F31" s="3">
        <f>(273528+494514)</f>
        <v>768042</v>
      </c>
      <c r="G31" s="3">
        <f>463</f>
        <v>463</v>
      </c>
      <c r="H31" s="3">
        <f>0</f>
        <v>0</v>
      </c>
      <c r="I31" s="3">
        <f>1497</f>
        <v>1497</v>
      </c>
      <c r="J31" s="3">
        <f>(0+32728+(273528+494514)+463+0+1497)</f>
        <v>802730</v>
      </c>
      <c r="K31" s="3">
        <f>0</f>
        <v>0</v>
      </c>
      <c r="L31" s="3">
        <f>0</f>
        <v>0</v>
      </c>
      <c r="M31" s="3">
        <f>(0+0)</f>
        <v>0</v>
      </c>
      <c r="N31" s="3">
        <f>0</f>
        <v>0</v>
      </c>
      <c r="O31" s="3">
        <f>((0+32728+(273528+494514)+463+0+1497)+(0+0)+0)</f>
        <v>802730</v>
      </c>
    </row>
    <row r="32" spans="1:15" ht="14" x14ac:dyDescent="0.3">
      <c r="A32" s="2" t="s">
        <v>24</v>
      </c>
      <c r="B32" s="3">
        <f>567</f>
        <v>567</v>
      </c>
      <c r="C32" s="3">
        <f>19655</f>
        <v>19655</v>
      </c>
      <c r="D32" s="3">
        <f>298035</f>
        <v>298035</v>
      </c>
      <c r="E32" s="3">
        <f>5587</f>
        <v>5587</v>
      </c>
      <c r="F32" s="3">
        <f>(298035+5587)</f>
        <v>303622</v>
      </c>
      <c r="G32" s="3">
        <f>4612</f>
        <v>4612</v>
      </c>
      <c r="H32" s="3">
        <f>11736</f>
        <v>11736</v>
      </c>
      <c r="I32" s="3">
        <f>0</f>
        <v>0</v>
      </c>
      <c r="J32" s="3">
        <f>(567+19655+(298035+5587)+4612+11736+0)</f>
        <v>340192</v>
      </c>
      <c r="K32" s="3">
        <f>0</f>
        <v>0</v>
      </c>
      <c r="L32" s="3">
        <f>0</f>
        <v>0</v>
      </c>
      <c r="M32" s="3">
        <f>(0+0)</f>
        <v>0</v>
      </c>
      <c r="N32" s="3">
        <f>1152947</f>
        <v>1152947</v>
      </c>
      <c r="O32" s="3">
        <f>((567+19655+(298035+5587)+4612+11736+0)+(0+0)+1152947)</f>
        <v>1493139</v>
      </c>
    </row>
    <row r="33" spans="1:15" ht="14" x14ac:dyDescent="0.3">
      <c r="A33" s="2" t="s">
        <v>25</v>
      </c>
      <c r="B33" s="3">
        <f>88310</f>
        <v>88310</v>
      </c>
      <c r="C33" s="3">
        <f>265084</f>
        <v>265084</v>
      </c>
      <c r="D33" s="3">
        <f>2138377</f>
        <v>2138377</v>
      </c>
      <c r="E33" s="3">
        <f>2504596</f>
        <v>2504596</v>
      </c>
      <c r="F33" s="3">
        <f>(2138377+2504596)</f>
        <v>4642973</v>
      </c>
      <c r="G33" s="3">
        <f>37714</f>
        <v>37714</v>
      </c>
      <c r="H33" s="3">
        <f>187790</f>
        <v>187790</v>
      </c>
      <c r="I33" s="3">
        <f>14137</f>
        <v>14137</v>
      </c>
      <c r="J33" s="3">
        <f>(88310+265084+(2138377+2504596)+37714+187790+14137)</f>
        <v>5236008</v>
      </c>
      <c r="K33" s="3">
        <f>362948</f>
        <v>362948</v>
      </c>
      <c r="L33" s="3">
        <f>435294</f>
        <v>435294</v>
      </c>
      <c r="M33" s="3">
        <f>(362948+435294)</f>
        <v>798242</v>
      </c>
      <c r="N33" s="3">
        <f>1195565</f>
        <v>1195565</v>
      </c>
      <c r="O33" s="3">
        <f>((88310+265084+(2138377+2504596)+37714+187790+14137)+(362948+435294)+1195565)</f>
        <v>7229815</v>
      </c>
    </row>
    <row r="34" spans="1:15" ht="14" x14ac:dyDescent="0.3">
      <c r="A34" s="2" t="s">
        <v>26</v>
      </c>
      <c r="B34" s="3">
        <f>80636</f>
        <v>80636</v>
      </c>
      <c r="C34" s="3">
        <f>328589</f>
        <v>328589</v>
      </c>
      <c r="D34" s="3">
        <f>115678</f>
        <v>115678</v>
      </c>
      <c r="E34" s="3">
        <f>0</f>
        <v>0</v>
      </c>
      <c r="F34" s="3">
        <f>(115678+0)</f>
        <v>115678</v>
      </c>
      <c r="G34" s="3">
        <f>17394</f>
        <v>17394</v>
      </c>
      <c r="H34" s="3">
        <f>20888</f>
        <v>20888</v>
      </c>
      <c r="I34" s="3">
        <f>18690</f>
        <v>18690</v>
      </c>
      <c r="J34" s="3">
        <f>(80636+328589+(115678+0)+17394+20888+18690)</f>
        <v>581875</v>
      </c>
      <c r="K34" s="3">
        <f>678259</f>
        <v>678259</v>
      </c>
      <c r="L34" s="3">
        <f>114046</f>
        <v>114046</v>
      </c>
      <c r="M34" s="3">
        <f>(678259+114046)</f>
        <v>792305</v>
      </c>
      <c r="N34" s="3">
        <f>873167</f>
        <v>873167</v>
      </c>
      <c r="O34" s="3">
        <f>((80636+328589+(115678+0)+17394+20888+18690)+(678259+114046)+873167)</f>
        <v>2247347</v>
      </c>
    </row>
    <row r="35" spans="1:15" ht="14" x14ac:dyDescent="0.3">
      <c r="A35" s="2" t="s">
        <v>27</v>
      </c>
      <c r="B35" s="3">
        <f>0</f>
        <v>0</v>
      </c>
      <c r="C35" s="3">
        <f>0</f>
        <v>0</v>
      </c>
      <c r="D35" s="3">
        <f>0</f>
        <v>0</v>
      </c>
      <c r="E35" s="3">
        <f>0</f>
        <v>0</v>
      </c>
      <c r="F35" s="3">
        <f>(0+0)</f>
        <v>0</v>
      </c>
      <c r="G35" s="3">
        <f>0</f>
        <v>0</v>
      </c>
      <c r="H35" s="3">
        <f>0</f>
        <v>0</v>
      </c>
      <c r="I35" s="3">
        <f>0</f>
        <v>0</v>
      </c>
      <c r="J35" s="3">
        <f>(0+0+(0+0)+0+0+0)</f>
        <v>0</v>
      </c>
      <c r="K35" s="3">
        <f>0</f>
        <v>0</v>
      </c>
      <c r="L35" s="3">
        <f>0</f>
        <v>0</v>
      </c>
      <c r="M35" s="3">
        <f>(0+0)</f>
        <v>0</v>
      </c>
      <c r="N35" s="3">
        <f>2360176</f>
        <v>2360176</v>
      </c>
      <c r="O35" s="3">
        <f>((0+0+(0+0)+0+0+0)+(0+0)+2360176)</f>
        <v>2360176</v>
      </c>
    </row>
    <row r="36" spans="1:15" ht="14" x14ac:dyDescent="0.3">
      <c r="A36" s="2" t="s">
        <v>28</v>
      </c>
      <c r="B36" s="3">
        <f>1090614</f>
        <v>1090614</v>
      </c>
      <c r="C36" s="3">
        <f>6161183</f>
        <v>6161183</v>
      </c>
      <c r="D36" s="3">
        <f>7855520</f>
        <v>7855520</v>
      </c>
      <c r="E36" s="3">
        <f>6663437</f>
        <v>6663437</v>
      </c>
      <c r="F36" s="3">
        <f>(7855520+6663437)</f>
        <v>14518957</v>
      </c>
      <c r="G36" s="3">
        <f>67331</f>
        <v>67331</v>
      </c>
      <c r="H36" s="3">
        <f>1255413</f>
        <v>1255413</v>
      </c>
      <c r="I36" s="3">
        <f>1993793</f>
        <v>1993793</v>
      </c>
      <c r="J36" s="3">
        <f>(1090614+6161183+(7855520+6663437)+67331+1255413+1993793)</f>
        <v>25087291</v>
      </c>
      <c r="K36" s="3">
        <f>364389</f>
        <v>364389</v>
      </c>
      <c r="L36" s="3">
        <f>5019145</f>
        <v>5019145</v>
      </c>
      <c r="M36" s="3">
        <f>(364389+5019145)</f>
        <v>5383534</v>
      </c>
      <c r="N36" s="3">
        <f>3307599</f>
        <v>3307599</v>
      </c>
      <c r="O36" s="3">
        <f>((1090614+6161183+(7855520+6663437)+67331+1255413+1993793)+(364389+5019145)+3307599)</f>
        <v>33778424</v>
      </c>
    </row>
    <row r="37" spans="1:15" ht="14" x14ac:dyDescent="0.3">
      <c r="A37" s="2" t="s">
        <v>29</v>
      </c>
      <c r="B37" s="3">
        <f>9085</f>
        <v>9085</v>
      </c>
      <c r="C37" s="3">
        <f>242173</f>
        <v>242173</v>
      </c>
      <c r="D37" s="3">
        <f>144122</f>
        <v>144122</v>
      </c>
      <c r="E37" s="3">
        <f>0</f>
        <v>0</v>
      </c>
      <c r="F37" s="3">
        <f>(144122+0)</f>
        <v>144122</v>
      </c>
      <c r="G37" s="3">
        <f>15600</f>
        <v>15600</v>
      </c>
      <c r="H37" s="3">
        <f>135012</f>
        <v>135012</v>
      </c>
      <c r="I37" s="3">
        <f>2089675</f>
        <v>2089675</v>
      </c>
      <c r="J37" s="3">
        <f>(9085+242173+(144122+0)+15600+135012+2089675)</f>
        <v>2635667</v>
      </c>
      <c r="K37" s="3">
        <f>0</f>
        <v>0</v>
      </c>
      <c r="L37" s="3">
        <f>1506044</f>
        <v>1506044</v>
      </c>
      <c r="M37" s="3">
        <f>(0+1506044)</f>
        <v>1506044</v>
      </c>
      <c r="N37" s="3">
        <f>2104392</f>
        <v>2104392</v>
      </c>
      <c r="O37" s="3">
        <f>((9085+242173+(144122+0)+15600+135012+2089675)+(0+1506044)+2104392)</f>
        <v>6246103</v>
      </c>
    </row>
    <row r="38" spans="1:15" ht="14" x14ac:dyDescent="0.3">
      <c r="A38" s="2" t="s">
        <v>30</v>
      </c>
      <c r="B38" s="3">
        <f>29937</f>
        <v>29937</v>
      </c>
      <c r="C38" s="3">
        <f>20712</f>
        <v>20712</v>
      </c>
      <c r="D38" s="3">
        <f>2933747</f>
        <v>2933747</v>
      </c>
      <c r="E38" s="3">
        <f>810701</f>
        <v>810701</v>
      </c>
      <c r="F38" s="3">
        <f>(2933747+810701)</f>
        <v>3744448</v>
      </c>
      <c r="G38" s="3">
        <f>73659</f>
        <v>73659</v>
      </c>
      <c r="H38" s="3">
        <f>463624</f>
        <v>463624</v>
      </c>
      <c r="I38" s="3">
        <f>13839</f>
        <v>13839</v>
      </c>
      <c r="J38" s="3">
        <f>(29937+20712+(2933747+810701)+73659+463624+13839)</f>
        <v>4346219</v>
      </c>
      <c r="K38" s="3">
        <f>0</f>
        <v>0</v>
      </c>
      <c r="L38" s="3">
        <f>328811</f>
        <v>328811</v>
      </c>
      <c r="M38" s="3">
        <f>(0+328811)</f>
        <v>328811</v>
      </c>
      <c r="N38" s="3">
        <f>1563027</f>
        <v>1563027</v>
      </c>
      <c r="O38" s="3">
        <f>((29937+20712+(2933747+810701)+73659+463624+13839)+(0+328811)+1563027)</f>
        <v>6238057</v>
      </c>
    </row>
    <row r="39" spans="1:15" ht="14" x14ac:dyDescent="0.3">
      <c r="A39" s="2" t="s">
        <v>31</v>
      </c>
      <c r="B39" s="3">
        <f>(-247659)</f>
        <v>-247659</v>
      </c>
      <c r="C39" s="3">
        <f>739864</f>
        <v>739864</v>
      </c>
      <c r="D39" s="3">
        <f>0</f>
        <v>0</v>
      </c>
      <c r="E39" s="3">
        <f>0</f>
        <v>0</v>
      </c>
      <c r="F39" s="3">
        <f>(0+0)</f>
        <v>0</v>
      </c>
      <c r="G39" s="3">
        <f>2143</f>
        <v>2143</v>
      </c>
      <c r="H39" s="3">
        <f>114408</f>
        <v>114408</v>
      </c>
      <c r="I39" s="3">
        <f>53394</f>
        <v>53394</v>
      </c>
      <c r="J39" s="3">
        <f>((-247659)+739864+(0+0)+2143+114408+53394)</f>
        <v>662150</v>
      </c>
      <c r="K39" s="3">
        <f>216723</f>
        <v>216723</v>
      </c>
      <c r="L39" s="3">
        <f>771452</f>
        <v>771452</v>
      </c>
      <c r="M39" s="3">
        <f>(216723+771452)</f>
        <v>988175</v>
      </c>
      <c r="N39" s="3">
        <f>21500598</f>
        <v>21500598</v>
      </c>
      <c r="O39" s="3">
        <f>(((-247659)+739864+(0+0)+2143+114408+53394)+(216723+771452)+21500598)</f>
        <v>23150923</v>
      </c>
    </row>
    <row r="40" spans="1:15" ht="14" x14ac:dyDescent="0.3">
      <c r="A40" s="2" t="s">
        <v>32</v>
      </c>
      <c r="B40" s="3">
        <f>230700</f>
        <v>230700</v>
      </c>
      <c r="C40" s="3">
        <f>333534</f>
        <v>333534</v>
      </c>
      <c r="D40" s="3">
        <f>4053252</f>
        <v>4053252</v>
      </c>
      <c r="E40" s="3">
        <f>1317539</f>
        <v>1317539</v>
      </c>
      <c r="F40" s="3">
        <f>(4053252+1317539)</f>
        <v>5370791</v>
      </c>
      <c r="G40" s="3">
        <f>1929</f>
        <v>1929</v>
      </c>
      <c r="H40" s="3">
        <f>141266</f>
        <v>141266</v>
      </c>
      <c r="I40" s="3">
        <f>437160</f>
        <v>437160</v>
      </c>
      <c r="J40" s="3">
        <f>(230700+333534+(4053252+1317539)+1929+141266+437160)</f>
        <v>6515380</v>
      </c>
      <c r="K40" s="3">
        <f>1906879</f>
        <v>1906879</v>
      </c>
      <c r="L40" s="3">
        <f>2367649</f>
        <v>2367649</v>
      </c>
      <c r="M40" s="3">
        <f>(1906879+2367649)</f>
        <v>4274528</v>
      </c>
      <c r="N40" s="3">
        <f>2734830</f>
        <v>2734830</v>
      </c>
      <c r="O40" s="3">
        <f>((230700+333534+(4053252+1317539)+1929+141266+437160)+(1906879+2367649)+2734830)</f>
        <v>13524738</v>
      </c>
    </row>
    <row r="41" spans="1:15" ht="14" x14ac:dyDescent="0.3">
      <c r="A41" s="5" t="s">
        <v>34</v>
      </c>
      <c r="B41" s="5"/>
      <c r="C41" s="5"/>
      <c r="D41" s="5"/>
      <c r="E41" s="5"/>
      <c r="F41" s="5"/>
      <c r="G41" s="5"/>
      <c r="H41" s="5"/>
      <c r="I41" s="5"/>
      <c r="J41" s="5"/>
      <c r="K41" s="5"/>
      <c r="L41" s="5"/>
      <c r="M41" s="5"/>
      <c r="N41" s="5"/>
      <c r="O41" s="5"/>
    </row>
    <row r="42" spans="1:15" ht="14" x14ac:dyDescent="0.3">
      <c r="A42" s="4" t="s">
        <v>1</v>
      </c>
      <c r="B42" s="1" t="s">
        <v>2</v>
      </c>
      <c r="C42" s="1" t="s">
        <v>3</v>
      </c>
      <c r="D42" s="1" t="s">
        <v>4</v>
      </c>
      <c r="E42" s="1" t="s">
        <v>5</v>
      </c>
      <c r="F42" s="1" t="s">
        <v>6</v>
      </c>
      <c r="G42" s="1" t="s">
        <v>7</v>
      </c>
      <c r="H42" s="1" t="s">
        <v>8</v>
      </c>
      <c r="I42" s="1" t="s">
        <v>9</v>
      </c>
      <c r="J42" s="1" t="s">
        <v>10</v>
      </c>
      <c r="K42" s="1" t="s">
        <v>11</v>
      </c>
      <c r="L42" s="1" t="s">
        <v>12</v>
      </c>
      <c r="M42" s="1" t="s">
        <v>13</v>
      </c>
      <c r="N42" s="1" t="s">
        <v>14</v>
      </c>
      <c r="O42" s="1" t="s">
        <v>15</v>
      </c>
    </row>
    <row r="43" spans="1:15" ht="14" x14ac:dyDescent="0.3">
      <c r="A43" s="4"/>
      <c r="B43" s="1">
        <v>2023</v>
      </c>
      <c r="C43" s="1">
        <v>2023</v>
      </c>
      <c r="D43" s="1">
        <v>2023</v>
      </c>
      <c r="E43" s="1">
        <v>2023</v>
      </c>
      <c r="F43" s="1">
        <v>2023</v>
      </c>
      <c r="G43" s="1">
        <v>2023</v>
      </c>
      <c r="H43" s="1">
        <v>2023</v>
      </c>
      <c r="I43" s="1">
        <v>2023</v>
      </c>
      <c r="J43" s="1">
        <v>2023</v>
      </c>
      <c r="K43" s="1">
        <v>2023</v>
      </c>
      <c r="L43" s="1">
        <v>2023</v>
      </c>
      <c r="M43" s="1">
        <v>2023</v>
      </c>
      <c r="N43" s="1">
        <v>2023</v>
      </c>
      <c r="O43" s="1">
        <v>2023</v>
      </c>
    </row>
    <row r="44" spans="1:15" ht="14" x14ac:dyDescent="0.3">
      <c r="A44" s="2" t="s">
        <v>16</v>
      </c>
      <c r="B44" s="3">
        <f>360</f>
        <v>360</v>
      </c>
      <c r="C44" s="3">
        <f>1115</f>
        <v>1115</v>
      </c>
      <c r="D44" s="3">
        <f>27784</f>
        <v>27784</v>
      </c>
      <c r="E44" s="3">
        <f>109845</f>
        <v>109845</v>
      </c>
      <c r="F44" s="3">
        <f>(27784+109845)</f>
        <v>137629</v>
      </c>
      <c r="G44" s="3">
        <f>816</f>
        <v>816</v>
      </c>
      <c r="H44" s="3">
        <f>479</f>
        <v>479</v>
      </c>
      <c r="I44" s="3">
        <f>3299</f>
        <v>3299</v>
      </c>
      <c r="J44" s="3">
        <f>(360+1115+(27784+109845)+816+479+3299)</f>
        <v>143698</v>
      </c>
      <c r="K44" s="3">
        <f>236</f>
        <v>236</v>
      </c>
      <c r="L44" s="3">
        <f>3282</f>
        <v>3282</v>
      </c>
      <c r="M44" s="3">
        <f>(236+3282)</f>
        <v>3518</v>
      </c>
      <c r="N44" s="3">
        <f>573</f>
        <v>573</v>
      </c>
      <c r="O44" s="3">
        <f>((360+1115+(27784+109845)+816+479+3299)+573+(236+3282))</f>
        <v>147789</v>
      </c>
    </row>
    <row r="45" spans="1:15" ht="14" x14ac:dyDescent="0.3">
      <c r="A45" s="2" t="s">
        <v>17</v>
      </c>
      <c r="B45" s="3">
        <f>0</f>
        <v>0</v>
      </c>
      <c r="C45" s="3">
        <f>0</f>
        <v>0</v>
      </c>
      <c r="D45" s="3">
        <f>0</f>
        <v>0</v>
      </c>
      <c r="E45" s="3">
        <f>0</f>
        <v>0</v>
      </c>
      <c r="F45" s="3">
        <f>(0+0)</f>
        <v>0</v>
      </c>
      <c r="G45" s="3">
        <f>0</f>
        <v>0</v>
      </c>
      <c r="H45" s="3">
        <f>0</f>
        <v>0</v>
      </c>
      <c r="I45" s="3">
        <f>32167</f>
        <v>32167</v>
      </c>
      <c r="J45" s="3">
        <f>(0+0+(0+0)+0+0+32167)</f>
        <v>32167</v>
      </c>
      <c r="K45" s="3">
        <f>2971</f>
        <v>2971</v>
      </c>
      <c r="L45" s="3">
        <f>100</f>
        <v>100</v>
      </c>
      <c r="M45" s="3">
        <f>(2971+100)</f>
        <v>3071</v>
      </c>
      <c r="N45" s="3">
        <f>175</f>
        <v>175</v>
      </c>
      <c r="O45" s="3">
        <f>((0+0+(0+0)+0+0+32167)+175+(2971+100))</f>
        <v>35413</v>
      </c>
    </row>
    <row r="46" spans="1:15" ht="14" x14ac:dyDescent="0.3">
      <c r="A46" s="2" t="s">
        <v>18</v>
      </c>
      <c r="B46" s="3">
        <f>1322</f>
        <v>1322</v>
      </c>
      <c r="C46" s="3">
        <f>1465</f>
        <v>1465</v>
      </c>
      <c r="D46" s="3">
        <f>41671</f>
        <v>41671</v>
      </c>
      <c r="E46" s="3">
        <f>185196</f>
        <v>185196</v>
      </c>
      <c r="F46" s="3">
        <f>(41671+185196)</f>
        <v>226867</v>
      </c>
      <c r="G46" s="3">
        <f>1399</f>
        <v>1399</v>
      </c>
      <c r="H46" s="3">
        <f>469</f>
        <v>469</v>
      </c>
      <c r="I46" s="3">
        <f>4985</f>
        <v>4985</v>
      </c>
      <c r="J46" s="3">
        <f>(1322+1465+(41671+185196)+1399+469+4985)</f>
        <v>236507</v>
      </c>
      <c r="K46" s="3">
        <f>114</f>
        <v>114</v>
      </c>
      <c r="L46" s="3">
        <f>1623</f>
        <v>1623</v>
      </c>
      <c r="M46" s="3">
        <f>(114+1623)</f>
        <v>1737</v>
      </c>
      <c r="N46" s="3">
        <f>1088</f>
        <v>1088</v>
      </c>
      <c r="O46" s="3">
        <f>((1322+1465+(41671+185196)+1399+469+4985)+1088+(114+1623))</f>
        <v>239332</v>
      </c>
    </row>
    <row r="47" spans="1:15" ht="14" x14ac:dyDescent="0.3">
      <c r="A47" s="2" t="s">
        <v>19</v>
      </c>
      <c r="B47" s="3">
        <f>1798</f>
        <v>1798</v>
      </c>
      <c r="C47" s="3">
        <f>2442</f>
        <v>2442</v>
      </c>
      <c r="D47" s="3">
        <f>12812</f>
        <v>12812</v>
      </c>
      <c r="E47" s="3">
        <f>69896</f>
        <v>69896</v>
      </c>
      <c r="F47" s="3">
        <f>(12812+69896)</f>
        <v>82708</v>
      </c>
      <c r="G47" s="3">
        <f>167</f>
        <v>167</v>
      </c>
      <c r="H47" s="3">
        <f>706</f>
        <v>706</v>
      </c>
      <c r="I47" s="3">
        <f>2670</f>
        <v>2670</v>
      </c>
      <c r="J47" s="3">
        <f>(1798+2442+(12812+69896)+167+706+2670)</f>
        <v>90491</v>
      </c>
      <c r="K47" s="3">
        <f>0</f>
        <v>0</v>
      </c>
      <c r="L47" s="3">
        <f>0</f>
        <v>0</v>
      </c>
      <c r="M47" s="3">
        <f>(0+0)</f>
        <v>0</v>
      </c>
      <c r="N47" s="3">
        <f>210</f>
        <v>210</v>
      </c>
      <c r="O47" s="3">
        <f>((1798+2442+(12812+69896)+167+706+2670)+210+(0+0))</f>
        <v>90701</v>
      </c>
    </row>
    <row r="48" spans="1:15" ht="14" x14ac:dyDescent="0.3">
      <c r="A48" s="2" t="s">
        <v>20</v>
      </c>
      <c r="B48" s="3">
        <f>357</f>
        <v>357</v>
      </c>
      <c r="C48" s="3">
        <f>562</f>
        <v>562</v>
      </c>
      <c r="D48" s="3">
        <f>25606</f>
        <v>25606</v>
      </c>
      <c r="E48" s="3">
        <f>152039</f>
        <v>152039</v>
      </c>
      <c r="F48" s="3">
        <f>(25606+152039)</f>
        <v>177645</v>
      </c>
      <c r="G48" s="3">
        <f>152</f>
        <v>152</v>
      </c>
      <c r="H48" s="3">
        <f>188</f>
        <v>188</v>
      </c>
      <c r="I48" s="3">
        <f>4289</f>
        <v>4289</v>
      </c>
      <c r="J48" s="3">
        <f>(357+562+(25606+152039)+152+188+4289)</f>
        <v>183193</v>
      </c>
      <c r="K48" s="3">
        <f>25288</f>
        <v>25288</v>
      </c>
      <c r="L48" s="3">
        <f>1250</f>
        <v>1250</v>
      </c>
      <c r="M48" s="3">
        <f>(25288+1250)</f>
        <v>26538</v>
      </c>
      <c r="N48" s="3">
        <f>17659</f>
        <v>17659</v>
      </c>
      <c r="O48" s="3">
        <f>((357+562+(25606+152039)+152+188+4289)+17659+(25288+1250))</f>
        <v>227390</v>
      </c>
    </row>
    <row r="49" spans="1:15" ht="14" x14ac:dyDescent="0.3">
      <c r="A49" s="2" t="s">
        <v>21</v>
      </c>
      <c r="B49" s="3">
        <f>231</f>
        <v>231</v>
      </c>
      <c r="C49" s="3">
        <f>821</f>
        <v>821</v>
      </c>
      <c r="D49" s="3">
        <f>19733</f>
        <v>19733</v>
      </c>
      <c r="E49" s="3">
        <f>89591</f>
        <v>89591</v>
      </c>
      <c r="F49" s="3">
        <f>(19733+89591)</f>
        <v>109324</v>
      </c>
      <c r="G49" s="3">
        <f>466</f>
        <v>466</v>
      </c>
      <c r="H49" s="3">
        <f>193</f>
        <v>193</v>
      </c>
      <c r="I49" s="3">
        <f>3565</f>
        <v>3565</v>
      </c>
      <c r="J49" s="3">
        <f>(231+821+(19733+89591)+466+193+3565)</f>
        <v>114600</v>
      </c>
      <c r="K49" s="3">
        <f>0</f>
        <v>0</v>
      </c>
      <c r="L49" s="3">
        <f>277</f>
        <v>277</v>
      </c>
      <c r="M49" s="3">
        <f>(0+277)</f>
        <v>277</v>
      </c>
      <c r="N49" s="3">
        <f>292</f>
        <v>292</v>
      </c>
      <c r="O49" s="3">
        <f>((231+821+(19733+89591)+466+193+3565)+292+(0+277))</f>
        <v>115169</v>
      </c>
    </row>
    <row r="50" spans="1:15" ht="14" x14ac:dyDescent="0.3">
      <c r="A50" s="2" t="s">
        <v>22</v>
      </c>
      <c r="B50" s="3">
        <f>23</f>
        <v>23</v>
      </c>
      <c r="C50" s="3">
        <f>343</f>
        <v>343</v>
      </c>
      <c r="D50" s="3">
        <f>21905</f>
        <v>21905</v>
      </c>
      <c r="E50" s="3">
        <f>116045</f>
        <v>116045</v>
      </c>
      <c r="F50" s="3">
        <f>(21905+116045)</f>
        <v>137950</v>
      </c>
      <c r="G50" s="3">
        <f>61</f>
        <v>61</v>
      </c>
      <c r="H50" s="3">
        <f>81</f>
        <v>81</v>
      </c>
      <c r="I50" s="3">
        <f>653</f>
        <v>653</v>
      </c>
      <c r="J50" s="3">
        <f>(23+343+(21905+116045)+61+81+653)</f>
        <v>139111</v>
      </c>
      <c r="K50" s="3">
        <f>27432</f>
        <v>27432</v>
      </c>
      <c r="L50" s="3">
        <f>232</f>
        <v>232</v>
      </c>
      <c r="M50" s="3">
        <f>(27432+232)</f>
        <v>27664</v>
      </c>
      <c r="N50" s="3">
        <f>2369</f>
        <v>2369</v>
      </c>
      <c r="O50" s="3">
        <f>((23+343+(21905+116045)+61+81+653)+2369+(27432+232))</f>
        <v>169144</v>
      </c>
    </row>
    <row r="51" spans="1:15" ht="14" x14ac:dyDescent="0.3">
      <c r="A51" s="2" t="s">
        <v>23</v>
      </c>
      <c r="B51" s="3">
        <f>20</f>
        <v>20</v>
      </c>
      <c r="C51" s="3">
        <f>279</f>
        <v>279</v>
      </c>
      <c r="D51" s="3">
        <f>3639</f>
        <v>3639</v>
      </c>
      <c r="E51" s="3">
        <f>28757</f>
        <v>28757</v>
      </c>
      <c r="F51" s="3">
        <f>(3639+28757)</f>
        <v>32396</v>
      </c>
      <c r="G51" s="3">
        <f>40</f>
        <v>40</v>
      </c>
      <c r="H51" s="3">
        <f>18</f>
        <v>18</v>
      </c>
      <c r="I51" s="3">
        <f>84</f>
        <v>84</v>
      </c>
      <c r="J51" s="3">
        <f>(20+279+(3639+28757)+40+18+84)</f>
        <v>32837</v>
      </c>
      <c r="K51" s="3">
        <f>0</f>
        <v>0</v>
      </c>
      <c r="L51" s="3">
        <f>0</f>
        <v>0</v>
      </c>
      <c r="M51" s="3">
        <f>(0+0)</f>
        <v>0</v>
      </c>
      <c r="N51" s="3">
        <f>0</f>
        <v>0</v>
      </c>
      <c r="O51" s="3">
        <f>((20+279+(3639+28757)+40+18+84)+0+(0+0))</f>
        <v>32837</v>
      </c>
    </row>
    <row r="52" spans="1:15" ht="14" x14ac:dyDescent="0.3">
      <c r="A52" s="2" t="s">
        <v>24</v>
      </c>
      <c r="B52" s="3">
        <f>188</f>
        <v>188</v>
      </c>
      <c r="C52" s="3">
        <f>227</f>
        <v>227</v>
      </c>
      <c r="D52" s="3">
        <f>1135</f>
        <v>1135</v>
      </c>
      <c r="E52" s="3">
        <f>1088</f>
        <v>1088</v>
      </c>
      <c r="F52" s="3">
        <f>(1135+1088)</f>
        <v>2223</v>
      </c>
      <c r="G52" s="3">
        <f>71</f>
        <v>71</v>
      </c>
      <c r="H52" s="3">
        <f>30</f>
        <v>30</v>
      </c>
      <c r="I52" s="3">
        <f>32</f>
        <v>32</v>
      </c>
      <c r="J52" s="3">
        <f>(188+227+(1135+1088)+71+30+32)</f>
        <v>2771</v>
      </c>
      <c r="K52" s="3">
        <f>0</f>
        <v>0</v>
      </c>
      <c r="L52" s="3">
        <f>0</f>
        <v>0</v>
      </c>
      <c r="M52" s="3">
        <f>(0+0)</f>
        <v>0</v>
      </c>
      <c r="N52" s="3">
        <f>34</f>
        <v>34</v>
      </c>
      <c r="O52" s="3">
        <f>((188+227+(1135+1088)+71+30+32)+34+(0+0))</f>
        <v>2805</v>
      </c>
    </row>
    <row r="53" spans="1:15" ht="14" x14ac:dyDescent="0.3">
      <c r="A53" s="2" t="s">
        <v>25</v>
      </c>
      <c r="B53" s="3">
        <f>1459</f>
        <v>1459</v>
      </c>
      <c r="C53" s="3">
        <f>1187</f>
        <v>1187</v>
      </c>
      <c r="D53" s="3">
        <f>10589</f>
        <v>10589</v>
      </c>
      <c r="E53" s="3">
        <f>26801</f>
        <v>26801</v>
      </c>
      <c r="F53" s="3">
        <f>(10589+26801)</f>
        <v>37390</v>
      </c>
      <c r="G53" s="3">
        <f>509</f>
        <v>509</v>
      </c>
      <c r="H53" s="3">
        <f>517</f>
        <v>517</v>
      </c>
      <c r="I53" s="3">
        <f>364</f>
        <v>364</v>
      </c>
      <c r="J53" s="3">
        <f>(1459+1187+(10589+26801)+509+517+364)</f>
        <v>41426</v>
      </c>
      <c r="K53" s="3">
        <f>1861</f>
        <v>1861</v>
      </c>
      <c r="L53" s="3">
        <f>96</f>
        <v>96</v>
      </c>
      <c r="M53" s="3">
        <f>(1861+96)</f>
        <v>1957</v>
      </c>
      <c r="N53" s="3">
        <f>53</f>
        <v>53</v>
      </c>
      <c r="O53" s="3">
        <f>((1459+1187+(10589+26801)+509+517+364)+53+(1861+96))</f>
        <v>43436</v>
      </c>
    </row>
    <row r="54" spans="1:15" ht="14" x14ac:dyDescent="0.3">
      <c r="A54" s="2" t="s">
        <v>26</v>
      </c>
      <c r="B54" s="3">
        <f>235</f>
        <v>235</v>
      </c>
      <c r="C54" s="3">
        <f>403</f>
        <v>403</v>
      </c>
      <c r="D54" s="3">
        <f>446</f>
        <v>446</v>
      </c>
      <c r="E54" s="3">
        <f>107</f>
        <v>107</v>
      </c>
      <c r="F54" s="3">
        <f>(446+107)</f>
        <v>553</v>
      </c>
      <c r="G54" s="3">
        <f>548</f>
        <v>548</v>
      </c>
      <c r="H54" s="3">
        <f>33</f>
        <v>33</v>
      </c>
      <c r="I54" s="3">
        <f>517</f>
        <v>517</v>
      </c>
      <c r="J54" s="3">
        <f>(235+403+(446+107)+548+33+517)</f>
        <v>2289</v>
      </c>
      <c r="K54" s="3">
        <f>358</f>
        <v>358</v>
      </c>
      <c r="L54" s="3">
        <f>15</f>
        <v>15</v>
      </c>
      <c r="M54" s="3">
        <f>(358+15)</f>
        <v>373</v>
      </c>
      <c r="N54" s="3">
        <f>185</f>
        <v>185</v>
      </c>
      <c r="O54" s="3">
        <f>((235+403+(446+107)+548+33+517)+185+(358+15))</f>
        <v>2847</v>
      </c>
    </row>
    <row r="55" spans="1:15" ht="14" x14ac:dyDescent="0.3">
      <c r="A55" s="2" t="s">
        <v>27</v>
      </c>
      <c r="B55" s="3">
        <f>0</f>
        <v>0</v>
      </c>
      <c r="C55" s="3">
        <f>0</f>
        <v>0</v>
      </c>
      <c r="D55" s="3">
        <f>0</f>
        <v>0</v>
      </c>
      <c r="E55" s="3">
        <f>0</f>
        <v>0</v>
      </c>
      <c r="F55" s="3">
        <f>(0+0)</f>
        <v>0</v>
      </c>
      <c r="G55" s="3">
        <f>0</f>
        <v>0</v>
      </c>
      <c r="H55" s="3">
        <f>0</f>
        <v>0</v>
      </c>
      <c r="I55" s="3">
        <f>0</f>
        <v>0</v>
      </c>
      <c r="J55" s="3">
        <f>(0+0+(0+0)+0+0+0)</f>
        <v>0</v>
      </c>
      <c r="K55" s="3">
        <f>0</f>
        <v>0</v>
      </c>
      <c r="L55" s="3">
        <f>0</f>
        <v>0</v>
      </c>
      <c r="M55" s="3">
        <f>(0+0)</f>
        <v>0</v>
      </c>
      <c r="N55" s="3">
        <f>174</f>
        <v>174</v>
      </c>
      <c r="O55" s="3">
        <f>((0+0+(0+0)+0+0+0)+174+(0+0))</f>
        <v>174</v>
      </c>
    </row>
    <row r="56" spans="1:15" ht="14" x14ac:dyDescent="0.3">
      <c r="A56" s="2" t="s">
        <v>28</v>
      </c>
      <c r="B56" s="3">
        <f>353</f>
        <v>353</v>
      </c>
      <c r="C56" s="3">
        <f>1614</f>
        <v>1614</v>
      </c>
      <c r="D56" s="3">
        <f>29265</f>
        <v>29265</v>
      </c>
      <c r="E56" s="3">
        <f>277671</f>
        <v>277671</v>
      </c>
      <c r="F56" s="3">
        <f>(29265+277671)</f>
        <v>306936</v>
      </c>
      <c r="G56" s="3">
        <f>739</f>
        <v>739</v>
      </c>
      <c r="H56" s="3">
        <f>152</f>
        <v>152</v>
      </c>
      <c r="I56" s="3">
        <f>11846</f>
        <v>11846</v>
      </c>
      <c r="J56" s="3">
        <f>(353+1614+(29265+277671)+739+152+11846)</f>
        <v>321640</v>
      </c>
      <c r="K56" s="3">
        <f>125821</f>
        <v>125821</v>
      </c>
      <c r="L56" s="3">
        <f>287</f>
        <v>287</v>
      </c>
      <c r="M56" s="3">
        <f>(125821+287)</f>
        <v>126108</v>
      </c>
      <c r="N56" s="3">
        <f>8285</f>
        <v>8285</v>
      </c>
      <c r="O56" s="3">
        <f>((353+1614+(29265+277671)+739+152+11846)+8285+(125821+287))</f>
        <v>456033</v>
      </c>
    </row>
    <row r="57" spans="1:15" ht="14" x14ac:dyDescent="0.3">
      <c r="A57" s="2" t="s">
        <v>29</v>
      </c>
      <c r="B57" s="3">
        <f>58</f>
        <v>58</v>
      </c>
      <c r="C57" s="3">
        <f>118</f>
        <v>118</v>
      </c>
      <c r="D57" s="3">
        <f>117</f>
        <v>117</v>
      </c>
      <c r="E57" s="3">
        <f>12</f>
        <v>12</v>
      </c>
      <c r="F57" s="3">
        <f>(117+12)</f>
        <v>129</v>
      </c>
      <c r="G57" s="3">
        <f>208</f>
        <v>208</v>
      </c>
      <c r="H57" s="3">
        <f>30</f>
        <v>30</v>
      </c>
      <c r="I57" s="3">
        <f>78</f>
        <v>78</v>
      </c>
      <c r="J57" s="3">
        <f>(58+118+(117+12)+208+30+78)</f>
        <v>621</v>
      </c>
      <c r="K57" s="3">
        <f>0</f>
        <v>0</v>
      </c>
      <c r="L57" s="3">
        <f>37</f>
        <v>37</v>
      </c>
      <c r="M57" s="3">
        <f>(0+37)</f>
        <v>37</v>
      </c>
      <c r="N57" s="3">
        <f>219</f>
        <v>219</v>
      </c>
      <c r="O57" s="3">
        <f>((58+118+(117+12)+208+30+78)+219+(0+37))</f>
        <v>877</v>
      </c>
    </row>
    <row r="58" spans="1:15" ht="14" x14ac:dyDescent="0.3">
      <c r="A58" s="2" t="s">
        <v>30</v>
      </c>
      <c r="B58" s="3">
        <f>378</f>
        <v>378</v>
      </c>
      <c r="C58" s="3">
        <f>486</f>
        <v>486</v>
      </c>
      <c r="D58" s="3">
        <f>19761</f>
        <v>19761</v>
      </c>
      <c r="E58" s="3">
        <f>78852</f>
        <v>78852</v>
      </c>
      <c r="F58" s="3">
        <f>(19761+78852)</f>
        <v>98613</v>
      </c>
      <c r="G58" s="3">
        <f>372</f>
        <v>372</v>
      </c>
      <c r="H58" s="3">
        <f>355</f>
        <v>355</v>
      </c>
      <c r="I58" s="3">
        <f>1292</f>
        <v>1292</v>
      </c>
      <c r="J58" s="3">
        <f>(378+486+(19761+78852)+372+355+1292)</f>
        <v>101496</v>
      </c>
      <c r="K58" s="3">
        <f>34</f>
        <v>34</v>
      </c>
      <c r="L58" s="3">
        <f>150</f>
        <v>150</v>
      </c>
      <c r="M58" s="3">
        <f>(34+150)</f>
        <v>184</v>
      </c>
      <c r="N58" s="3">
        <f>144</f>
        <v>144</v>
      </c>
      <c r="O58" s="3">
        <f>((378+486+(19761+78852)+372+355+1292)+144+(34+150))</f>
        <v>101824</v>
      </c>
    </row>
    <row r="59" spans="1:15" ht="14" x14ac:dyDescent="0.3">
      <c r="A59" s="2" t="s">
        <v>31</v>
      </c>
      <c r="B59" s="3">
        <f>186</f>
        <v>186</v>
      </c>
      <c r="C59" s="3">
        <f>636</f>
        <v>636</v>
      </c>
      <c r="D59" s="3">
        <f>18424</f>
        <v>18424</v>
      </c>
      <c r="E59" s="3">
        <f>289411</f>
        <v>289411</v>
      </c>
      <c r="F59" s="3">
        <f>(18424+289411)</f>
        <v>307835</v>
      </c>
      <c r="G59" s="3">
        <f>427</f>
        <v>427</v>
      </c>
      <c r="H59" s="3">
        <f>247</f>
        <v>247</v>
      </c>
      <c r="I59" s="3">
        <f>640</f>
        <v>640</v>
      </c>
      <c r="J59" s="3">
        <f>(186+636+(18424+289411)+427+247+640)</f>
        <v>309971</v>
      </c>
      <c r="K59" s="3">
        <f>5533</f>
        <v>5533</v>
      </c>
      <c r="L59" s="3">
        <f>52</f>
        <v>52</v>
      </c>
      <c r="M59" s="3">
        <f>(5533+52)</f>
        <v>5585</v>
      </c>
      <c r="N59" s="3">
        <f>41</f>
        <v>41</v>
      </c>
      <c r="O59" s="3">
        <f>((186+636+(18424+289411)+427+247+640)+41+(5533+52))</f>
        <v>315597</v>
      </c>
    </row>
    <row r="60" spans="1:15" ht="14" x14ac:dyDescent="0.3">
      <c r="A60" s="2" t="s">
        <v>32</v>
      </c>
      <c r="B60" s="3">
        <f>1805</f>
        <v>1805</v>
      </c>
      <c r="C60" s="3">
        <f>2443</f>
        <v>2443</v>
      </c>
      <c r="D60" s="3">
        <f>19890</f>
        <v>19890</v>
      </c>
      <c r="E60" s="3">
        <f>44096</f>
        <v>44096</v>
      </c>
      <c r="F60" s="3">
        <f>(19890+44096)</f>
        <v>63986</v>
      </c>
      <c r="G60" s="3">
        <f>324</f>
        <v>324</v>
      </c>
      <c r="H60" s="3">
        <f>250</f>
        <v>250</v>
      </c>
      <c r="I60" s="3">
        <f>12805</f>
        <v>12805</v>
      </c>
      <c r="J60" s="3">
        <f>(1805+2443+(19890+44096)+324+250+12805)</f>
        <v>81613</v>
      </c>
      <c r="K60" s="3">
        <f>42728</f>
        <v>42728</v>
      </c>
      <c r="L60" s="3">
        <f>157</f>
        <v>157</v>
      </c>
      <c r="M60" s="3">
        <f>(42728+157)</f>
        <v>42885</v>
      </c>
      <c r="N60" s="3">
        <f>3333</f>
        <v>3333</v>
      </c>
      <c r="O60" s="3">
        <f>((1805+2443+(19890+44096)+324+250+12805)+3333+(42728+157))</f>
        <v>127831</v>
      </c>
    </row>
    <row r="61" spans="1:15" ht="14" x14ac:dyDescent="0.3">
      <c r="A61" s="5" t="s">
        <v>35</v>
      </c>
      <c r="B61" s="5"/>
      <c r="C61" s="5"/>
      <c r="D61" s="5"/>
      <c r="E61" s="5"/>
      <c r="F61" s="5"/>
      <c r="G61" s="5"/>
      <c r="H61" s="5"/>
      <c r="I61" s="5"/>
      <c r="J61" s="5"/>
      <c r="K61" s="5"/>
      <c r="L61" s="5"/>
      <c r="M61" s="5"/>
      <c r="N61" s="5"/>
      <c r="O61" s="5"/>
    </row>
    <row r="62" spans="1:15" ht="14" x14ac:dyDescent="0.3">
      <c r="A62" s="4" t="s">
        <v>1</v>
      </c>
      <c r="B62" s="1" t="s">
        <v>36</v>
      </c>
      <c r="C62" s="1" t="s">
        <v>37</v>
      </c>
      <c r="D62" s="1" t="s">
        <v>38</v>
      </c>
      <c r="E62" s="1" t="s">
        <v>39</v>
      </c>
      <c r="F62" s="1" t="s">
        <v>40</v>
      </c>
      <c r="G62" s="1" t="s">
        <v>41</v>
      </c>
      <c r="H62" s="1" t="s">
        <v>42</v>
      </c>
      <c r="I62" s="1" t="s">
        <v>43</v>
      </c>
      <c r="J62" s="1" t="s">
        <v>44</v>
      </c>
      <c r="K62" s="1" t="s">
        <v>45</v>
      </c>
      <c r="L62" s="1" t="s">
        <v>46</v>
      </c>
      <c r="M62" s="1" t="s">
        <v>47</v>
      </c>
    </row>
    <row r="63" spans="1:15" ht="14" x14ac:dyDescent="0.3">
      <c r="A63" s="4"/>
      <c r="B63" s="1">
        <v>2023</v>
      </c>
      <c r="C63" s="1">
        <v>2023</v>
      </c>
      <c r="D63" s="1">
        <v>2023</v>
      </c>
      <c r="E63" s="1">
        <v>2023</v>
      </c>
      <c r="F63" s="1">
        <v>2023</v>
      </c>
      <c r="G63" s="1">
        <v>2023</v>
      </c>
      <c r="H63" s="1">
        <v>2023</v>
      </c>
      <c r="I63" s="1">
        <v>2023</v>
      </c>
      <c r="J63" s="1">
        <v>2023</v>
      </c>
      <c r="K63" s="1">
        <v>2023</v>
      </c>
      <c r="L63" s="1">
        <v>2023</v>
      </c>
      <c r="M63" s="1">
        <v>2023</v>
      </c>
    </row>
    <row r="64" spans="1:15" ht="14" x14ac:dyDescent="0.3">
      <c r="A64" s="2" t="s">
        <v>16</v>
      </c>
      <c r="B64" s="3">
        <f>5170000</f>
        <v>5170000</v>
      </c>
      <c r="C64" s="3">
        <f>0</f>
        <v>0</v>
      </c>
      <c r="D64" s="3">
        <f>3518347</f>
        <v>3518347</v>
      </c>
      <c r="E64" s="3">
        <f>0</f>
        <v>0</v>
      </c>
      <c r="F64" s="3">
        <f>1730369</f>
        <v>1730369</v>
      </c>
      <c r="G64" s="3">
        <f>1041617</f>
        <v>1041617</v>
      </c>
      <c r="H64" s="3">
        <f>0</f>
        <v>0</v>
      </c>
      <c r="I64" s="3">
        <f>0</f>
        <v>0</v>
      </c>
      <c r="J64" s="3">
        <f>4300000</f>
        <v>4300000</v>
      </c>
      <c r="K64" s="3">
        <f>9175000</f>
        <v>9175000</v>
      </c>
      <c r="L64" s="3">
        <f>1475000</f>
        <v>1475000</v>
      </c>
      <c r="M64" s="3">
        <f>(5170000+0+3518347+0+1730369+1041617+0+0+4300000+9175000+1475000)</f>
        <v>26410333</v>
      </c>
    </row>
    <row r="65" spans="1:13" ht="14" x14ac:dyDescent="0.3">
      <c r="A65" s="2" t="s">
        <v>17</v>
      </c>
      <c r="B65" s="3">
        <f>0</f>
        <v>0</v>
      </c>
      <c r="C65" s="3">
        <f>1474950</f>
        <v>1474950</v>
      </c>
      <c r="D65" s="3">
        <f>837627</f>
        <v>837627</v>
      </c>
      <c r="E65" s="3">
        <f>5899190</f>
        <v>5899190</v>
      </c>
      <c r="F65" s="3">
        <f>0</f>
        <v>0</v>
      </c>
      <c r="G65" s="3">
        <f>0</f>
        <v>0</v>
      </c>
      <c r="H65" s="3">
        <f>287072</f>
        <v>287072</v>
      </c>
      <c r="I65" s="3">
        <f>0</f>
        <v>0</v>
      </c>
      <c r="J65" s="3">
        <f>3954133</f>
        <v>3954133</v>
      </c>
      <c r="K65" s="3">
        <f>6570346</f>
        <v>6570346</v>
      </c>
      <c r="L65" s="3">
        <f>20916156</f>
        <v>20916156</v>
      </c>
      <c r="M65" s="3">
        <f>(0+1474950+837627+5899190+0+0+287072+0+3954133+6570346+20916156)</f>
        <v>39939474</v>
      </c>
    </row>
    <row r="66" spans="1:13" ht="14" x14ac:dyDescent="0.3">
      <c r="A66" s="2" t="s">
        <v>18</v>
      </c>
      <c r="B66" s="3">
        <f>3229916</f>
        <v>3229916</v>
      </c>
      <c r="C66" s="3">
        <f>0</f>
        <v>0</v>
      </c>
      <c r="D66" s="3">
        <f>0</f>
        <v>0</v>
      </c>
      <c r="E66" s="3">
        <f>2270124</f>
        <v>2270124</v>
      </c>
      <c r="F66" s="3">
        <f>13091292</f>
        <v>13091292</v>
      </c>
      <c r="G66" s="3">
        <f>20000</f>
        <v>20000</v>
      </c>
      <c r="H66" s="3">
        <f>0</f>
        <v>0</v>
      </c>
      <c r="I66" s="3">
        <f>0</f>
        <v>0</v>
      </c>
      <c r="J66" s="3">
        <f>0</f>
        <v>0</v>
      </c>
      <c r="K66" s="3">
        <f>39618786</f>
        <v>39618786</v>
      </c>
      <c r="L66" s="3">
        <f>5500037</f>
        <v>5500037</v>
      </c>
      <c r="M66" s="3">
        <f>(3229916+0+0+2270124+13091292+20000+0+0+0+39618786+5500037)</f>
        <v>63730155</v>
      </c>
    </row>
    <row r="67" spans="1:13" ht="14" x14ac:dyDescent="0.3">
      <c r="A67" s="2" t="s">
        <v>19</v>
      </c>
      <c r="B67" s="3">
        <f>0</f>
        <v>0</v>
      </c>
      <c r="C67" s="3">
        <f>11301643</f>
        <v>11301643</v>
      </c>
      <c r="D67" s="3">
        <f>0</f>
        <v>0</v>
      </c>
      <c r="E67" s="3">
        <f>0</f>
        <v>0</v>
      </c>
      <c r="F67" s="3">
        <f>0</f>
        <v>0</v>
      </c>
      <c r="G67" s="3">
        <f>0</f>
        <v>0</v>
      </c>
      <c r="H67" s="3">
        <f>0</f>
        <v>0</v>
      </c>
      <c r="I67" s="3">
        <f>0</f>
        <v>0</v>
      </c>
      <c r="J67" s="3">
        <f>0</f>
        <v>0</v>
      </c>
      <c r="K67" s="3">
        <f>39998090</f>
        <v>39998090</v>
      </c>
      <c r="L67" s="3">
        <f>0</f>
        <v>0</v>
      </c>
      <c r="M67" s="3">
        <f>(0+11301643+0+0+0+0+0+0+0+39998090+0)</f>
        <v>51299733</v>
      </c>
    </row>
    <row r="68" spans="1:13" ht="14" x14ac:dyDescent="0.3">
      <c r="A68" s="2" t="s">
        <v>20</v>
      </c>
      <c r="B68" s="3">
        <f>0</f>
        <v>0</v>
      </c>
      <c r="C68" s="3">
        <f>0</f>
        <v>0</v>
      </c>
      <c r="D68" s="3">
        <f>0</f>
        <v>0</v>
      </c>
      <c r="E68" s="3">
        <f>20569161</f>
        <v>20569161</v>
      </c>
      <c r="F68" s="3">
        <f>1729017</f>
        <v>1729017</v>
      </c>
      <c r="G68" s="3">
        <f>146229747</f>
        <v>146229747</v>
      </c>
      <c r="H68" s="3">
        <f>0</f>
        <v>0</v>
      </c>
      <c r="I68" s="3">
        <f>0</f>
        <v>0</v>
      </c>
      <c r="J68" s="3">
        <f>0</f>
        <v>0</v>
      </c>
      <c r="K68" s="3">
        <f>16563355</f>
        <v>16563355</v>
      </c>
      <c r="L68" s="3">
        <f>2610000</f>
        <v>2610000</v>
      </c>
      <c r="M68" s="3">
        <f>(0+0+0+20569161+1729017+146229747+0+0+0+16563355+2610000)</f>
        <v>187701280</v>
      </c>
    </row>
    <row r="69" spans="1:13" ht="14" x14ac:dyDescent="0.3">
      <c r="A69" s="2" t="s">
        <v>21</v>
      </c>
      <c r="B69" s="3">
        <f>0</f>
        <v>0</v>
      </c>
      <c r="C69" s="3">
        <f>10373108</f>
        <v>10373108</v>
      </c>
      <c r="D69" s="3">
        <f>0</f>
        <v>0</v>
      </c>
      <c r="E69" s="3">
        <f>1770965</f>
        <v>1770965</v>
      </c>
      <c r="F69" s="3">
        <f>7311721</f>
        <v>7311721</v>
      </c>
      <c r="G69" s="3">
        <f>6736887</f>
        <v>6736887</v>
      </c>
      <c r="H69" s="3">
        <f>0</f>
        <v>0</v>
      </c>
      <c r="I69" s="3">
        <f>0</f>
        <v>0</v>
      </c>
      <c r="J69" s="3">
        <f>4270489</f>
        <v>4270489</v>
      </c>
      <c r="K69" s="3">
        <f>24530246</f>
        <v>24530246</v>
      </c>
      <c r="L69" s="3">
        <f>3362530</f>
        <v>3362530</v>
      </c>
      <c r="M69" s="3">
        <f>(0+10373108+0+1770965+7311721+6736887+0+0+4270489+24530246+3362530)</f>
        <v>58355946</v>
      </c>
    </row>
    <row r="70" spans="1:13" ht="14" x14ac:dyDescent="0.3">
      <c r="A70" s="2" t="s">
        <v>22</v>
      </c>
      <c r="B70" s="3">
        <f>1313374</f>
        <v>1313374</v>
      </c>
      <c r="C70" s="3">
        <f>4651750</f>
        <v>4651750</v>
      </c>
      <c r="D70" s="3">
        <f>0</f>
        <v>0</v>
      </c>
      <c r="E70" s="3">
        <f>2000000</f>
        <v>2000000</v>
      </c>
      <c r="F70" s="3">
        <f>0</f>
        <v>0</v>
      </c>
      <c r="G70" s="3">
        <f>440368</f>
        <v>440368</v>
      </c>
      <c r="H70" s="3">
        <f>0</f>
        <v>0</v>
      </c>
      <c r="I70" s="3">
        <f>0</f>
        <v>0</v>
      </c>
      <c r="J70" s="3">
        <f>0</f>
        <v>0</v>
      </c>
      <c r="K70" s="3">
        <f>5318254</f>
        <v>5318254</v>
      </c>
      <c r="L70" s="3">
        <f>10585746</f>
        <v>10585746</v>
      </c>
      <c r="M70" s="3">
        <f>(1313374+4651750+0+2000000+0+440368+0+0+0+5318254+10585746)</f>
        <v>24309492</v>
      </c>
    </row>
    <row r="71" spans="1:13" ht="14" x14ac:dyDescent="0.3">
      <c r="A71" s="2" t="s">
        <v>23</v>
      </c>
      <c r="B71" s="3">
        <f>0</f>
        <v>0</v>
      </c>
      <c r="C71" s="3">
        <f>0</f>
        <v>0</v>
      </c>
      <c r="D71" s="3">
        <f>0</f>
        <v>0</v>
      </c>
      <c r="E71" s="3">
        <f>0</f>
        <v>0</v>
      </c>
      <c r="F71" s="3">
        <f>0</f>
        <v>0</v>
      </c>
      <c r="G71" s="3">
        <f>0</f>
        <v>0</v>
      </c>
      <c r="H71" s="3">
        <f>0</f>
        <v>0</v>
      </c>
      <c r="I71" s="3">
        <f>0</f>
        <v>0</v>
      </c>
      <c r="J71" s="3">
        <f>0</f>
        <v>0</v>
      </c>
      <c r="K71" s="3">
        <f>14043138</f>
        <v>14043138</v>
      </c>
      <c r="L71" s="3">
        <f>0</f>
        <v>0</v>
      </c>
      <c r="M71" s="3">
        <f>(0+0+0+0+0+0+0+0+0+14043138+0)</f>
        <v>14043138</v>
      </c>
    </row>
    <row r="72" spans="1:13" ht="14" x14ac:dyDescent="0.3">
      <c r="A72" s="2" t="s">
        <v>24</v>
      </c>
      <c r="B72" s="3">
        <f>0</f>
        <v>0</v>
      </c>
      <c r="C72" s="3">
        <f>0</f>
        <v>0</v>
      </c>
      <c r="D72" s="3">
        <f>0</f>
        <v>0</v>
      </c>
      <c r="E72" s="3">
        <f>0</f>
        <v>0</v>
      </c>
      <c r="F72" s="3">
        <f>91876</f>
        <v>91876</v>
      </c>
      <c r="G72" s="3">
        <f>934290</f>
        <v>934290</v>
      </c>
      <c r="H72" s="3">
        <f>0</f>
        <v>0</v>
      </c>
      <c r="I72" s="3">
        <f>0</f>
        <v>0</v>
      </c>
      <c r="J72" s="3">
        <f>0</f>
        <v>0</v>
      </c>
      <c r="K72" s="3">
        <f>10091884</f>
        <v>10091884</v>
      </c>
      <c r="L72" s="3">
        <f>0</f>
        <v>0</v>
      </c>
      <c r="M72" s="3">
        <f>(0+0+0+0+91876+934290+0+0+0+10091884+0)</f>
        <v>11118050</v>
      </c>
    </row>
    <row r="73" spans="1:13" ht="14" x14ac:dyDescent="0.3">
      <c r="A73" s="2" t="s">
        <v>25</v>
      </c>
      <c r="B73" s="3">
        <f>0</f>
        <v>0</v>
      </c>
      <c r="C73" s="3">
        <f>4665205</f>
        <v>4665205</v>
      </c>
      <c r="D73" s="3">
        <f>0</f>
        <v>0</v>
      </c>
      <c r="E73" s="3">
        <f>2795939</f>
        <v>2795939</v>
      </c>
      <c r="F73" s="3">
        <f>1742104</f>
        <v>1742104</v>
      </c>
      <c r="G73" s="3">
        <f>1072330</f>
        <v>1072330</v>
      </c>
      <c r="H73" s="3">
        <f>0</f>
        <v>0</v>
      </c>
      <c r="I73" s="3">
        <f>0</f>
        <v>0</v>
      </c>
      <c r="J73" s="3">
        <f>0</f>
        <v>0</v>
      </c>
      <c r="K73" s="3">
        <f>17051650</f>
        <v>17051650</v>
      </c>
      <c r="L73" s="3">
        <f>8478535</f>
        <v>8478535</v>
      </c>
      <c r="M73" s="3">
        <f>(0+4665205+0+2795939+1742104+1072330+0+0+0+17051650+8478535)</f>
        <v>35805763</v>
      </c>
    </row>
    <row r="74" spans="1:13" ht="14" x14ac:dyDescent="0.3">
      <c r="A74" s="2" t="s">
        <v>26</v>
      </c>
      <c r="B74" s="3">
        <f>0</f>
        <v>0</v>
      </c>
      <c r="C74" s="3">
        <f>0</f>
        <v>0</v>
      </c>
      <c r="D74" s="3">
        <f>0</f>
        <v>0</v>
      </c>
      <c r="E74" s="3">
        <f>0</f>
        <v>0</v>
      </c>
      <c r="F74" s="3">
        <f>0</f>
        <v>0</v>
      </c>
      <c r="G74" s="3">
        <f>0</f>
        <v>0</v>
      </c>
      <c r="H74" s="3">
        <f>0</f>
        <v>0</v>
      </c>
      <c r="I74" s="3">
        <f>0</f>
        <v>0</v>
      </c>
      <c r="J74" s="3">
        <f>0</f>
        <v>0</v>
      </c>
      <c r="K74" s="3">
        <f>14145292</f>
        <v>14145292</v>
      </c>
      <c r="L74" s="3">
        <f>2854650</f>
        <v>2854650</v>
      </c>
      <c r="M74" s="3">
        <f>(0+0+0+0+0+0+0+0+0+14145292+2854650)</f>
        <v>16999942</v>
      </c>
    </row>
    <row r="75" spans="1:13" ht="14" x14ac:dyDescent="0.3">
      <c r="A75" s="2" t="s">
        <v>27</v>
      </c>
      <c r="B75" s="3">
        <f>0</f>
        <v>0</v>
      </c>
      <c r="C75" s="3">
        <f>0</f>
        <v>0</v>
      </c>
      <c r="D75" s="3">
        <f>0</f>
        <v>0</v>
      </c>
      <c r="E75" s="3">
        <f>0</f>
        <v>0</v>
      </c>
      <c r="F75" s="3">
        <f>0</f>
        <v>0</v>
      </c>
      <c r="G75" s="3">
        <f>0</f>
        <v>0</v>
      </c>
      <c r="H75" s="3">
        <f>0</f>
        <v>0</v>
      </c>
      <c r="I75" s="3">
        <f>0</f>
        <v>0</v>
      </c>
      <c r="J75" s="3">
        <f>0</f>
        <v>0</v>
      </c>
      <c r="K75" s="3">
        <f>13606755</f>
        <v>13606755</v>
      </c>
      <c r="L75" s="3">
        <f>0</f>
        <v>0</v>
      </c>
      <c r="M75" s="3">
        <f>(0+0+0+0+0+0+0+0+0+13606755+0)</f>
        <v>13606755</v>
      </c>
    </row>
    <row r="76" spans="1:13" ht="14" x14ac:dyDescent="0.3">
      <c r="A76" s="2" t="s">
        <v>28</v>
      </c>
      <c r="B76" s="3">
        <f>6100000</f>
        <v>6100000</v>
      </c>
      <c r="C76" s="3">
        <f>9383632</f>
        <v>9383632</v>
      </c>
      <c r="D76" s="3">
        <f>0</f>
        <v>0</v>
      </c>
      <c r="E76" s="3">
        <f>2500000</f>
        <v>2500000</v>
      </c>
      <c r="F76" s="3">
        <f>16910440</f>
        <v>16910440</v>
      </c>
      <c r="G76" s="3">
        <f>2816227</f>
        <v>2816227</v>
      </c>
      <c r="H76" s="3">
        <f>0</f>
        <v>0</v>
      </c>
      <c r="I76" s="3">
        <f>0</f>
        <v>0</v>
      </c>
      <c r="J76" s="3">
        <f>2198090</f>
        <v>2198090</v>
      </c>
      <c r="K76" s="3">
        <f>22744836</f>
        <v>22744836</v>
      </c>
      <c r="L76" s="3">
        <f>5657118</f>
        <v>5657118</v>
      </c>
      <c r="M76" s="3">
        <f>(6100000+9383632+0+2500000+16910440+2816227+0+0+2198090+22744836+5657118)</f>
        <v>68310343</v>
      </c>
    </row>
    <row r="77" spans="1:13" ht="14" x14ac:dyDescent="0.3">
      <c r="A77" s="2" t="s">
        <v>29</v>
      </c>
      <c r="B77" s="3">
        <f>0</f>
        <v>0</v>
      </c>
      <c r="C77" s="3">
        <f>3991947</f>
        <v>3991947</v>
      </c>
      <c r="D77" s="3">
        <f>0</f>
        <v>0</v>
      </c>
      <c r="E77" s="3">
        <f>0</f>
        <v>0</v>
      </c>
      <c r="F77" s="3">
        <f>0</f>
        <v>0</v>
      </c>
      <c r="G77" s="3">
        <f>0</f>
        <v>0</v>
      </c>
      <c r="H77" s="3">
        <f>0</f>
        <v>0</v>
      </c>
      <c r="I77" s="3">
        <f>0</f>
        <v>0</v>
      </c>
      <c r="J77" s="3">
        <f>0</f>
        <v>0</v>
      </c>
      <c r="K77" s="3">
        <f>15725201</f>
        <v>15725201</v>
      </c>
      <c r="L77" s="3">
        <f>4680800</f>
        <v>4680800</v>
      </c>
      <c r="M77" s="3">
        <f>(0+3991947+0+0+0+0+0+0+0+15725201+4680800)</f>
        <v>24397948</v>
      </c>
    </row>
    <row r="78" spans="1:13" ht="14" x14ac:dyDescent="0.3">
      <c r="A78" s="2" t="s">
        <v>30</v>
      </c>
      <c r="B78" s="3">
        <f>8463502</f>
        <v>8463502</v>
      </c>
      <c r="C78" s="3">
        <f>1970991</f>
        <v>1970991</v>
      </c>
      <c r="D78" s="3">
        <f>0</f>
        <v>0</v>
      </c>
      <c r="E78" s="3">
        <f>0</f>
        <v>0</v>
      </c>
      <c r="F78" s="3">
        <f>3429909</f>
        <v>3429909</v>
      </c>
      <c r="G78" s="3">
        <f>0</f>
        <v>0</v>
      </c>
      <c r="H78" s="3">
        <f>0</f>
        <v>0</v>
      </c>
      <c r="I78" s="3">
        <f>0</f>
        <v>0</v>
      </c>
      <c r="J78" s="3">
        <f>0</f>
        <v>0</v>
      </c>
      <c r="K78" s="3">
        <f>8450000</f>
        <v>8450000</v>
      </c>
      <c r="L78" s="3">
        <f>3750000</f>
        <v>3750000</v>
      </c>
      <c r="M78" s="3">
        <f>(8463502+1970991+0+0+3429909+0+0+0+0+8450000+3750000)</f>
        <v>26064402</v>
      </c>
    </row>
    <row r="79" spans="1:13" ht="14" x14ac:dyDescent="0.3">
      <c r="A79" s="2" t="s">
        <v>31</v>
      </c>
      <c r="B79" s="3">
        <f>198713</f>
        <v>198713</v>
      </c>
      <c r="C79" s="3">
        <f>22433882</f>
        <v>22433882</v>
      </c>
      <c r="D79" s="3">
        <f>0</f>
        <v>0</v>
      </c>
      <c r="E79" s="3">
        <f>20500967</f>
        <v>20500967</v>
      </c>
      <c r="F79" s="3">
        <f>136693</f>
        <v>136693</v>
      </c>
      <c r="G79" s="3">
        <f>614980</f>
        <v>614980</v>
      </c>
      <c r="H79" s="3">
        <f>0</f>
        <v>0</v>
      </c>
      <c r="I79" s="3">
        <f>0</f>
        <v>0</v>
      </c>
      <c r="J79" s="3">
        <f>0</f>
        <v>0</v>
      </c>
      <c r="K79" s="3">
        <f>48822974</f>
        <v>48822974</v>
      </c>
      <c r="L79" s="3">
        <f>4753856</f>
        <v>4753856</v>
      </c>
      <c r="M79" s="3">
        <f>(198713+22433882+0+20500967+136693+614980+0+0+0+48822974+4753856)</f>
        <v>97462065</v>
      </c>
    </row>
    <row r="80" spans="1:13" ht="14" x14ac:dyDescent="0.3">
      <c r="A80" s="2" t="s">
        <v>32</v>
      </c>
      <c r="B80" s="3">
        <f>0</f>
        <v>0</v>
      </c>
      <c r="C80" s="3">
        <f>45356242</f>
        <v>45356242</v>
      </c>
      <c r="D80" s="3">
        <f>0</f>
        <v>0</v>
      </c>
      <c r="E80" s="3">
        <f>12724296</f>
        <v>12724296</v>
      </c>
      <c r="F80" s="3">
        <f>292340</f>
        <v>292340</v>
      </c>
      <c r="G80" s="3">
        <f>0</f>
        <v>0</v>
      </c>
      <c r="H80" s="3">
        <f>0</f>
        <v>0</v>
      </c>
      <c r="I80" s="3">
        <f>0</f>
        <v>0</v>
      </c>
      <c r="J80" s="3">
        <f>0</f>
        <v>0</v>
      </c>
      <c r="K80" s="3">
        <f>10387820</f>
        <v>10387820</v>
      </c>
      <c r="L80" s="3">
        <f>10300852</f>
        <v>10300852</v>
      </c>
      <c r="M80" s="3">
        <f>(0+45356242+0+12724296+292340+0+0+0+0+10387820+10300852)</f>
        <v>79061550</v>
      </c>
    </row>
    <row r="81" spans="1:15" ht="14" x14ac:dyDescent="0.3">
      <c r="A81" s="5" t="s">
        <v>48</v>
      </c>
      <c r="B81" s="5"/>
      <c r="C81" s="5"/>
      <c r="D81" s="5"/>
      <c r="E81" s="5"/>
      <c r="F81" s="5"/>
      <c r="G81" s="5"/>
      <c r="H81" s="5"/>
      <c r="I81" s="5"/>
      <c r="J81" s="5"/>
      <c r="K81" s="5"/>
      <c r="L81" s="5"/>
      <c r="M81" s="5"/>
      <c r="N81" s="5"/>
      <c r="O81" s="5"/>
    </row>
    <row r="82" spans="1:15" ht="14" x14ac:dyDescent="0.3">
      <c r="A82" s="4" t="s">
        <v>1</v>
      </c>
      <c r="B82" s="1" t="s">
        <v>36</v>
      </c>
      <c r="C82" s="1" t="s">
        <v>37</v>
      </c>
      <c r="D82" s="1" t="s">
        <v>38</v>
      </c>
      <c r="E82" s="1" t="s">
        <v>39</v>
      </c>
      <c r="F82" s="1" t="s">
        <v>40</v>
      </c>
      <c r="G82" s="1" t="s">
        <v>41</v>
      </c>
      <c r="H82" s="1" t="s">
        <v>42</v>
      </c>
      <c r="I82" s="1" t="s">
        <v>43</v>
      </c>
      <c r="J82" s="1" t="s">
        <v>44</v>
      </c>
      <c r="K82" s="1" t="s">
        <v>45</v>
      </c>
      <c r="L82" s="1" t="s">
        <v>46</v>
      </c>
      <c r="M82" s="1" t="s">
        <v>47</v>
      </c>
    </row>
    <row r="83" spans="1:15" ht="14" x14ac:dyDescent="0.3">
      <c r="A83" s="4"/>
      <c r="B83" s="1">
        <v>2023</v>
      </c>
      <c r="C83" s="1">
        <v>2023</v>
      </c>
      <c r="D83" s="1">
        <v>2023</v>
      </c>
      <c r="E83" s="1">
        <v>2023</v>
      </c>
      <c r="F83" s="1">
        <v>2023</v>
      </c>
      <c r="G83" s="1">
        <v>2023</v>
      </c>
      <c r="H83" s="1">
        <v>2023</v>
      </c>
      <c r="I83" s="1">
        <v>2023</v>
      </c>
      <c r="J83" s="1">
        <v>2023</v>
      </c>
      <c r="K83" s="1">
        <v>2023</v>
      </c>
      <c r="L83" s="1">
        <v>2023</v>
      </c>
      <c r="M83" s="1">
        <v>2023</v>
      </c>
    </row>
    <row r="84" spans="1:15" ht="14" x14ac:dyDescent="0.3">
      <c r="A84" s="2" t="s">
        <v>16</v>
      </c>
      <c r="B84" s="3">
        <f>154393</f>
        <v>154393</v>
      </c>
      <c r="C84" s="3">
        <f>0</f>
        <v>0</v>
      </c>
      <c r="D84" s="3">
        <f>358037</f>
        <v>358037</v>
      </c>
      <c r="E84" s="3">
        <f>0</f>
        <v>0</v>
      </c>
      <c r="F84" s="3">
        <f>14430</f>
        <v>14430</v>
      </c>
      <c r="G84" s="3">
        <f>0</f>
        <v>0</v>
      </c>
      <c r="H84" s="3">
        <f>0</f>
        <v>0</v>
      </c>
      <c r="I84" s="3">
        <f>0</f>
        <v>0</v>
      </c>
      <c r="J84" s="3">
        <f>0</f>
        <v>0</v>
      </c>
      <c r="K84" s="3">
        <f>827866</f>
        <v>827866</v>
      </c>
      <c r="L84" s="3">
        <f>78421</f>
        <v>78421</v>
      </c>
      <c r="M84" s="3">
        <f>(154393+0+358037+0+14430+0+0+0+0+827866+78421)</f>
        <v>1433147</v>
      </c>
    </row>
    <row r="85" spans="1:15" ht="14" x14ac:dyDescent="0.3">
      <c r="A85" s="2" t="s">
        <v>17</v>
      </c>
      <c r="B85" s="3">
        <f>0</f>
        <v>0</v>
      </c>
      <c r="C85" s="3">
        <f>145561</f>
        <v>145561</v>
      </c>
      <c r="D85" s="3">
        <f>0</f>
        <v>0</v>
      </c>
      <c r="E85" s="3">
        <f>199006</f>
        <v>199006</v>
      </c>
      <c r="F85" s="3">
        <f>0</f>
        <v>0</v>
      </c>
      <c r="G85" s="3">
        <f>0</f>
        <v>0</v>
      </c>
      <c r="H85" s="3">
        <f>30673</f>
        <v>30673</v>
      </c>
      <c r="I85" s="3">
        <f>0</f>
        <v>0</v>
      </c>
      <c r="J85" s="3">
        <f>0</f>
        <v>0</v>
      </c>
      <c r="K85" s="3">
        <f>240228</f>
        <v>240228</v>
      </c>
      <c r="L85" s="3">
        <f>801721</f>
        <v>801721</v>
      </c>
      <c r="M85" s="3">
        <f>(0+145561+0+199006+0+0+30673+0+0+240228+801721)</f>
        <v>1417189</v>
      </c>
    </row>
    <row r="86" spans="1:15" ht="14" x14ac:dyDescent="0.3">
      <c r="A86" s="2" t="s">
        <v>18</v>
      </c>
      <c r="B86" s="3">
        <f>179905</f>
        <v>179905</v>
      </c>
      <c r="C86" s="3">
        <f>0</f>
        <v>0</v>
      </c>
      <c r="D86" s="3">
        <f>0</f>
        <v>0</v>
      </c>
      <c r="E86" s="3">
        <f>170475</f>
        <v>170475</v>
      </c>
      <c r="F86" s="3">
        <f>848584</f>
        <v>848584</v>
      </c>
      <c r="G86" s="3">
        <f>0</f>
        <v>0</v>
      </c>
      <c r="H86" s="3">
        <f>0</f>
        <v>0</v>
      </c>
      <c r="I86" s="3">
        <f>0</f>
        <v>0</v>
      </c>
      <c r="J86" s="3">
        <f>0</f>
        <v>0</v>
      </c>
      <c r="K86" s="3">
        <f>2158432</f>
        <v>2158432</v>
      </c>
      <c r="L86" s="3">
        <f>0</f>
        <v>0</v>
      </c>
      <c r="M86" s="3">
        <f>(179905+0+0+170475+848584+0+0+0+0+2158432+0)</f>
        <v>3357396</v>
      </c>
    </row>
    <row r="87" spans="1:15" ht="14" x14ac:dyDescent="0.3">
      <c r="A87" s="2" t="s">
        <v>19</v>
      </c>
      <c r="B87" s="3">
        <f>0</f>
        <v>0</v>
      </c>
      <c r="C87" s="3">
        <f>511645</f>
        <v>511645</v>
      </c>
      <c r="D87" s="3">
        <f>0</f>
        <v>0</v>
      </c>
      <c r="E87" s="3">
        <f>0</f>
        <v>0</v>
      </c>
      <c r="F87" s="3">
        <f>0</f>
        <v>0</v>
      </c>
      <c r="G87" s="3">
        <f>0</f>
        <v>0</v>
      </c>
      <c r="H87" s="3">
        <f>0</f>
        <v>0</v>
      </c>
      <c r="I87" s="3">
        <f>0</f>
        <v>0</v>
      </c>
      <c r="J87" s="3">
        <f>0</f>
        <v>0</v>
      </c>
      <c r="K87" s="3">
        <f>1645434</f>
        <v>1645434</v>
      </c>
      <c r="L87" s="3">
        <f>0</f>
        <v>0</v>
      </c>
      <c r="M87" s="3">
        <f>(0+511645+0+0+0+0+0+0+0+1645434+0)</f>
        <v>2157079</v>
      </c>
    </row>
    <row r="88" spans="1:15" ht="14" x14ac:dyDescent="0.3">
      <c r="A88" s="2" t="s">
        <v>20</v>
      </c>
      <c r="B88" s="3">
        <f>0</f>
        <v>0</v>
      </c>
      <c r="C88" s="3">
        <f>982149</f>
        <v>982149</v>
      </c>
      <c r="D88" s="3">
        <f>0</f>
        <v>0</v>
      </c>
      <c r="E88" s="3">
        <f>1512608</f>
        <v>1512608</v>
      </c>
      <c r="F88" s="3">
        <f>78535</f>
        <v>78535</v>
      </c>
      <c r="G88" s="3">
        <f>6070799</f>
        <v>6070799</v>
      </c>
      <c r="H88" s="3">
        <f>0</f>
        <v>0</v>
      </c>
      <c r="I88" s="3">
        <f>0</f>
        <v>0</v>
      </c>
      <c r="J88" s="3">
        <f>0</f>
        <v>0</v>
      </c>
      <c r="K88" s="3">
        <f>367374</f>
        <v>367374</v>
      </c>
      <c r="L88" s="3">
        <f>1573913</f>
        <v>1573913</v>
      </c>
      <c r="M88" s="3">
        <f>(0+982149+0+1512608+78535+6070799+0+0+0+367374+1573913)</f>
        <v>10585378</v>
      </c>
    </row>
    <row r="89" spans="1:15" ht="14" x14ac:dyDescent="0.3">
      <c r="A89" s="2" t="s">
        <v>21</v>
      </c>
      <c r="B89" s="3">
        <f>0</f>
        <v>0</v>
      </c>
      <c r="C89" s="3">
        <f>608310</f>
        <v>608310</v>
      </c>
      <c r="D89" s="3">
        <f>0</f>
        <v>0</v>
      </c>
      <c r="E89" s="3">
        <f>6612</f>
        <v>6612</v>
      </c>
      <c r="F89" s="3">
        <f>355724</f>
        <v>355724</v>
      </c>
      <c r="G89" s="3">
        <f>769242</f>
        <v>769242</v>
      </c>
      <c r="H89" s="3">
        <f>0</f>
        <v>0</v>
      </c>
      <c r="I89" s="3">
        <f>0</f>
        <v>0</v>
      </c>
      <c r="J89" s="3">
        <f>3482938</f>
        <v>3482938</v>
      </c>
      <c r="K89" s="3">
        <f>1211024</f>
        <v>1211024</v>
      </c>
      <c r="L89" s="3">
        <f>37530</f>
        <v>37530</v>
      </c>
      <c r="M89" s="3">
        <f>(0+608310+0+6612+355724+769242+0+0+3482938+1211024+37530)</f>
        <v>6471380</v>
      </c>
    </row>
    <row r="90" spans="1:15" ht="14" x14ac:dyDescent="0.3">
      <c r="A90" s="2" t="s">
        <v>22</v>
      </c>
      <c r="B90" s="3">
        <f>91626</f>
        <v>91626</v>
      </c>
      <c r="C90" s="3">
        <f>286413</f>
        <v>286413</v>
      </c>
      <c r="D90" s="3">
        <f>0</f>
        <v>0</v>
      </c>
      <c r="E90" s="3">
        <f>183101</f>
        <v>183101</v>
      </c>
      <c r="F90" s="3">
        <f>0</f>
        <v>0</v>
      </c>
      <c r="G90" s="3">
        <f>0</f>
        <v>0</v>
      </c>
      <c r="H90" s="3">
        <f>0</f>
        <v>0</v>
      </c>
      <c r="I90" s="3">
        <f>0</f>
        <v>0</v>
      </c>
      <c r="J90" s="3">
        <f>24387</f>
        <v>24387</v>
      </c>
      <c r="K90" s="3">
        <f>225101</f>
        <v>225101</v>
      </c>
      <c r="L90" s="3">
        <f>448175</f>
        <v>448175</v>
      </c>
      <c r="M90" s="3">
        <f>(91626+286413+0+183101+0+0+0+0+24387+225101+448175)</f>
        <v>1258803</v>
      </c>
    </row>
    <row r="91" spans="1:15" ht="14" x14ac:dyDescent="0.3">
      <c r="A91" s="2" t="s">
        <v>23</v>
      </c>
      <c r="B91" s="3">
        <f>0</f>
        <v>0</v>
      </c>
      <c r="C91" s="3">
        <f>0</f>
        <v>0</v>
      </c>
      <c r="D91" s="3">
        <f>0</f>
        <v>0</v>
      </c>
      <c r="E91" s="3">
        <f>0</f>
        <v>0</v>
      </c>
      <c r="F91" s="3">
        <f>0</f>
        <v>0</v>
      </c>
      <c r="G91" s="3">
        <f>0</f>
        <v>0</v>
      </c>
      <c r="H91" s="3">
        <f>0</f>
        <v>0</v>
      </c>
      <c r="I91" s="3">
        <f>0</f>
        <v>0</v>
      </c>
      <c r="J91" s="3">
        <f>0</f>
        <v>0</v>
      </c>
      <c r="K91" s="3">
        <f>143614</f>
        <v>143614</v>
      </c>
      <c r="L91" s="3">
        <f>0</f>
        <v>0</v>
      </c>
      <c r="M91" s="3">
        <f>(0+0+0+0+0+0+0+0+0+143614+0)</f>
        <v>143614</v>
      </c>
    </row>
    <row r="92" spans="1:15" ht="14" x14ac:dyDescent="0.3">
      <c r="A92" s="2" t="s">
        <v>24</v>
      </c>
      <c r="B92" s="3">
        <f>0</f>
        <v>0</v>
      </c>
      <c r="C92" s="3">
        <f>0</f>
        <v>0</v>
      </c>
      <c r="D92" s="3">
        <f>0</f>
        <v>0</v>
      </c>
      <c r="E92" s="3">
        <f>0</f>
        <v>0</v>
      </c>
      <c r="F92" s="3">
        <f>3865</f>
        <v>3865</v>
      </c>
      <c r="G92" s="3">
        <f>10810</f>
        <v>10810</v>
      </c>
      <c r="H92" s="3">
        <f>0</f>
        <v>0</v>
      </c>
      <c r="I92" s="3">
        <f>0</f>
        <v>0</v>
      </c>
      <c r="J92" s="3">
        <f>0</f>
        <v>0</v>
      </c>
      <c r="K92" s="3">
        <f>471779</f>
        <v>471779</v>
      </c>
      <c r="L92" s="3">
        <f>0</f>
        <v>0</v>
      </c>
      <c r="M92" s="3">
        <f>(0+0+0+0+3865+10810+0+0+0+471779+0)</f>
        <v>486454</v>
      </c>
    </row>
    <row r="93" spans="1:15" ht="14" x14ac:dyDescent="0.3">
      <c r="A93" s="2" t="s">
        <v>25</v>
      </c>
      <c r="B93" s="3">
        <f>0</f>
        <v>0</v>
      </c>
      <c r="C93" s="3">
        <f>612867</f>
        <v>612867</v>
      </c>
      <c r="D93" s="3">
        <f>0</f>
        <v>0</v>
      </c>
      <c r="E93" s="3">
        <f>173222</f>
        <v>173222</v>
      </c>
      <c r="F93" s="3">
        <f>75629</f>
        <v>75629</v>
      </c>
      <c r="G93" s="3">
        <f>124991</f>
        <v>124991</v>
      </c>
      <c r="H93" s="3">
        <f>5200</f>
        <v>5200</v>
      </c>
      <c r="I93" s="3">
        <f>0</f>
        <v>0</v>
      </c>
      <c r="J93" s="3">
        <f>0</f>
        <v>0</v>
      </c>
      <c r="K93" s="3">
        <f>709109</f>
        <v>709109</v>
      </c>
      <c r="L93" s="3">
        <f>425985</f>
        <v>425985</v>
      </c>
      <c r="M93" s="3">
        <f>(0+612867+0+173222+75629+124991+5200+0+0+709109+425985)</f>
        <v>2127003</v>
      </c>
    </row>
    <row r="94" spans="1:15" ht="14" x14ac:dyDescent="0.3">
      <c r="A94" s="2" t="s">
        <v>26</v>
      </c>
      <c r="B94" s="3">
        <f>0</f>
        <v>0</v>
      </c>
      <c r="C94" s="3">
        <f>0</f>
        <v>0</v>
      </c>
      <c r="D94" s="3">
        <f>0</f>
        <v>0</v>
      </c>
      <c r="E94" s="3">
        <f>0</f>
        <v>0</v>
      </c>
      <c r="F94" s="3">
        <f>0</f>
        <v>0</v>
      </c>
      <c r="G94" s="3">
        <f>0</f>
        <v>0</v>
      </c>
      <c r="H94" s="3">
        <f>0</f>
        <v>0</v>
      </c>
      <c r="I94" s="3">
        <f>0</f>
        <v>0</v>
      </c>
      <c r="J94" s="3">
        <f>0</f>
        <v>0</v>
      </c>
      <c r="K94" s="3">
        <f>671666</f>
        <v>671666</v>
      </c>
      <c r="L94" s="3">
        <f>145497</f>
        <v>145497</v>
      </c>
      <c r="M94" s="3">
        <f>(0+0+0+0+0+0+0+0+0+671666+145497)</f>
        <v>817163</v>
      </c>
    </row>
    <row r="95" spans="1:15" ht="14" x14ac:dyDescent="0.3">
      <c r="A95" s="2" t="s">
        <v>27</v>
      </c>
      <c r="B95" s="3">
        <f>0</f>
        <v>0</v>
      </c>
      <c r="C95" s="3">
        <f>0</f>
        <v>0</v>
      </c>
      <c r="D95" s="3">
        <f>0</f>
        <v>0</v>
      </c>
      <c r="E95" s="3">
        <f>0</f>
        <v>0</v>
      </c>
      <c r="F95" s="3">
        <f>0</f>
        <v>0</v>
      </c>
      <c r="G95" s="3">
        <f>0</f>
        <v>0</v>
      </c>
      <c r="H95" s="3">
        <f>0</f>
        <v>0</v>
      </c>
      <c r="I95" s="3">
        <f>0</f>
        <v>0</v>
      </c>
      <c r="J95" s="3">
        <f>0</f>
        <v>0</v>
      </c>
      <c r="K95" s="3">
        <f>251164</f>
        <v>251164</v>
      </c>
      <c r="L95" s="3">
        <f>0</f>
        <v>0</v>
      </c>
      <c r="M95" s="3">
        <f>(0+0+0+0+0+0+0+0+0+251164+0)</f>
        <v>251164</v>
      </c>
    </row>
    <row r="96" spans="1:15" ht="14" x14ac:dyDescent="0.3">
      <c r="A96" s="2" t="s">
        <v>28</v>
      </c>
      <c r="B96" s="3">
        <f>244513</f>
        <v>244513</v>
      </c>
      <c r="C96" s="3">
        <f>790148</f>
        <v>790148</v>
      </c>
      <c r="D96" s="3">
        <f>0</f>
        <v>0</v>
      </c>
      <c r="E96" s="3">
        <f>0</f>
        <v>0</v>
      </c>
      <c r="F96" s="3">
        <f>4413675</f>
        <v>4413675</v>
      </c>
      <c r="G96" s="3">
        <f>1022561</f>
        <v>1022561</v>
      </c>
      <c r="H96" s="3">
        <f>0</f>
        <v>0</v>
      </c>
      <c r="I96" s="3">
        <f>0</f>
        <v>0</v>
      </c>
      <c r="J96" s="3">
        <f>65875</f>
        <v>65875</v>
      </c>
      <c r="K96" s="3">
        <f>1099423</f>
        <v>1099423</v>
      </c>
      <c r="L96" s="3">
        <f>273450</f>
        <v>273450</v>
      </c>
      <c r="M96" s="3">
        <f>(244513+790148+0+0+4413675+1022561+0+0+65875+1099423+273450)</f>
        <v>7909645</v>
      </c>
    </row>
    <row r="97" spans="1:15" ht="14" x14ac:dyDescent="0.3">
      <c r="A97" s="2" t="s">
        <v>29</v>
      </c>
      <c r="B97" s="3">
        <f>0</f>
        <v>0</v>
      </c>
      <c r="C97" s="3">
        <f>221920</f>
        <v>221920</v>
      </c>
      <c r="D97" s="3">
        <f>0</f>
        <v>0</v>
      </c>
      <c r="E97" s="3">
        <f>0</f>
        <v>0</v>
      </c>
      <c r="F97" s="3">
        <f>0</f>
        <v>0</v>
      </c>
      <c r="G97" s="3">
        <f>0</f>
        <v>0</v>
      </c>
      <c r="H97" s="3">
        <f>0</f>
        <v>0</v>
      </c>
      <c r="I97" s="3">
        <f>0</f>
        <v>0</v>
      </c>
      <c r="J97" s="3">
        <f>0</f>
        <v>0</v>
      </c>
      <c r="K97" s="3">
        <f>711410</f>
        <v>711410</v>
      </c>
      <c r="L97" s="3">
        <f>209597</f>
        <v>209597</v>
      </c>
      <c r="M97" s="3">
        <f>(0+221920+0+0+0+0+0+0+0+711410+209597)</f>
        <v>1142927</v>
      </c>
    </row>
    <row r="98" spans="1:15" ht="14" x14ac:dyDescent="0.3">
      <c r="A98" s="2" t="s">
        <v>30</v>
      </c>
      <c r="B98" s="3">
        <f>481519</f>
        <v>481519</v>
      </c>
      <c r="C98" s="3">
        <f>104111</f>
        <v>104111</v>
      </c>
      <c r="D98" s="3">
        <f>0</f>
        <v>0</v>
      </c>
      <c r="E98" s="3">
        <f>8021</f>
        <v>8021</v>
      </c>
      <c r="F98" s="3">
        <f>253439</f>
        <v>253439</v>
      </c>
      <c r="G98" s="3">
        <f>0</f>
        <v>0</v>
      </c>
      <c r="H98" s="3">
        <f>0</f>
        <v>0</v>
      </c>
      <c r="I98" s="3">
        <f>0</f>
        <v>0</v>
      </c>
      <c r="J98" s="3">
        <f>0</f>
        <v>0</v>
      </c>
      <c r="K98" s="3">
        <f>409196</f>
        <v>409196</v>
      </c>
      <c r="L98" s="3">
        <f>145486</f>
        <v>145486</v>
      </c>
      <c r="M98" s="3">
        <f>(481519+104111+0+8021+253439+0+0+0+0+409196+145486)</f>
        <v>1401772</v>
      </c>
    </row>
    <row r="99" spans="1:15" ht="14" x14ac:dyDescent="0.3">
      <c r="A99" s="2" t="s">
        <v>31</v>
      </c>
      <c r="B99" s="3">
        <f>0</f>
        <v>0</v>
      </c>
      <c r="C99" s="3">
        <f>234181</f>
        <v>234181</v>
      </c>
      <c r="D99" s="3">
        <f>0</f>
        <v>0</v>
      </c>
      <c r="E99" s="3">
        <f>805921</f>
        <v>805921</v>
      </c>
      <c r="F99" s="3">
        <f>26497</f>
        <v>26497</v>
      </c>
      <c r="G99" s="3">
        <f>0</f>
        <v>0</v>
      </c>
      <c r="H99" s="3">
        <f>0</f>
        <v>0</v>
      </c>
      <c r="I99" s="3">
        <f>0</f>
        <v>0</v>
      </c>
      <c r="J99" s="3">
        <f>778163</f>
        <v>778163</v>
      </c>
      <c r="K99" s="3">
        <f>1736862</f>
        <v>1736862</v>
      </c>
      <c r="L99" s="3">
        <f>0</f>
        <v>0</v>
      </c>
      <c r="M99" s="3">
        <f>(0+234181+0+805921+26497+0+0+0+778163+1736862+0)</f>
        <v>3581624</v>
      </c>
    </row>
    <row r="100" spans="1:15" ht="14" x14ac:dyDescent="0.3">
      <c r="A100" s="2" t="s">
        <v>32</v>
      </c>
      <c r="B100" s="3">
        <f>0</f>
        <v>0</v>
      </c>
      <c r="C100" s="3">
        <f>2652417</f>
        <v>2652417</v>
      </c>
      <c r="D100" s="3">
        <f>0</f>
        <v>0</v>
      </c>
      <c r="E100" s="3">
        <f>168799</f>
        <v>168799</v>
      </c>
      <c r="F100" s="3">
        <f>(-1292)</f>
        <v>-1292</v>
      </c>
      <c r="G100" s="3">
        <f>0</f>
        <v>0</v>
      </c>
      <c r="H100" s="3">
        <f>0</f>
        <v>0</v>
      </c>
      <c r="I100" s="3">
        <f>0</f>
        <v>0</v>
      </c>
      <c r="J100" s="3">
        <f>(-8256)</f>
        <v>-8256</v>
      </c>
      <c r="K100" s="3">
        <f>871621</f>
        <v>871621</v>
      </c>
      <c r="L100" s="3">
        <f>505880</f>
        <v>505880</v>
      </c>
      <c r="M100" s="3">
        <f>(0+2652417+0+168799+(-1292)+0+0+0+(-8256)+871621+505880)</f>
        <v>4189169</v>
      </c>
    </row>
    <row r="101" spans="1:15" ht="14" x14ac:dyDescent="0.3">
      <c r="A101" s="5" t="s">
        <v>49</v>
      </c>
      <c r="B101" s="5"/>
      <c r="C101" s="5"/>
      <c r="D101" s="5"/>
      <c r="E101" s="5"/>
      <c r="F101" s="5"/>
      <c r="G101" s="5"/>
      <c r="H101" s="5"/>
      <c r="I101" s="5"/>
      <c r="J101" s="5"/>
      <c r="K101" s="5"/>
      <c r="L101" s="5"/>
      <c r="M101" s="5"/>
      <c r="N101" s="5"/>
      <c r="O101" s="5"/>
    </row>
    <row r="102" spans="1:15" ht="14" x14ac:dyDescent="0.3">
      <c r="A102" s="4" t="s">
        <v>1</v>
      </c>
      <c r="B102" s="1" t="s">
        <v>50</v>
      </c>
      <c r="C102" s="1" t="s">
        <v>51</v>
      </c>
      <c r="D102" s="1" t="s">
        <v>52</v>
      </c>
      <c r="E102" s="1" t="s">
        <v>53</v>
      </c>
    </row>
    <row r="103" spans="1:15" ht="14" x14ac:dyDescent="0.3">
      <c r="A103" s="4"/>
      <c r="B103" s="1">
        <v>2023</v>
      </c>
      <c r="C103" s="1">
        <v>2023</v>
      </c>
      <c r="D103" s="1">
        <v>2023</v>
      </c>
      <c r="E103" s="1">
        <v>2023</v>
      </c>
    </row>
    <row r="104" spans="1:15" ht="14" x14ac:dyDescent="0.3">
      <c r="A104" s="2" t="s">
        <v>16</v>
      </c>
      <c r="B104" s="3">
        <f>10880575</f>
        <v>10880575</v>
      </c>
      <c r="C104" s="3">
        <f>3113247</f>
        <v>3113247</v>
      </c>
      <c r="D104" s="3">
        <f>3506178</f>
        <v>3506178</v>
      </c>
      <c r="E104" s="3">
        <f>(10880575+3113247+3506178)</f>
        <v>17500000</v>
      </c>
    </row>
    <row r="105" spans="1:15" ht="14" x14ac:dyDescent="0.3">
      <c r="A105" s="2" t="s">
        <v>17</v>
      </c>
      <c r="B105" s="3">
        <f>4484125</f>
        <v>4484125</v>
      </c>
      <c r="C105" s="3">
        <f>8944532</f>
        <v>8944532</v>
      </c>
      <c r="D105" s="3">
        <f>3020915</f>
        <v>3020915</v>
      </c>
      <c r="E105" s="3">
        <f>(4484125+8944532+3020915)</f>
        <v>16449572</v>
      </c>
    </row>
    <row r="106" spans="1:15" ht="14" x14ac:dyDescent="0.3">
      <c r="A106" s="2" t="s">
        <v>18</v>
      </c>
      <c r="B106" s="3">
        <f>6000000</f>
        <v>6000000</v>
      </c>
      <c r="C106" s="3">
        <f>1500000</f>
        <v>1500000</v>
      </c>
      <c r="D106" s="3">
        <f>2500000</f>
        <v>2500000</v>
      </c>
      <c r="E106" s="3">
        <f>(6000000+1500000+2500000)</f>
        <v>10000000</v>
      </c>
    </row>
    <row r="107" spans="1:15" ht="14" x14ac:dyDescent="0.3">
      <c r="A107" s="2" t="s">
        <v>19</v>
      </c>
      <c r="B107" s="3">
        <f>34165234</f>
        <v>34165234</v>
      </c>
      <c r="C107" s="3">
        <f>0</f>
        <v>0</v>
      </c>
      <c r="D107" s="3">
        <f>4553049</f>
        <v>4553049</v>
      </c>
      <c r="E107" s="3">
        <f>(34165234+0+4553049)</f>
        <v>38718283</v>
      </c>
    </row>
    <row r="108" spans="1:15" ht="14" x14ac:dyDescent="0.3">
      <c r="A108" s="2" t="s">
        <v>20</v>
      </c>
      <c r="B108" s="3">
        <f>51513902</f>
        <v>51513902</v>
      </c>
      <c r="C108" s="3">
        <f>3000000</f>
        <v>3000000</v>
      </c>
      <c r="D108" s="3">
        <f>14500000</f>
        <v>14500000</v>
      </c>
      <c r="E108" s="3">
        <f>(51513902+3000000+14500000)</f>
        <v>69013902</v>
      </c>
    </row>
    <row r="109" spans="1:15" ht="14" x14ac:dyDescent="0.3">
      <c r="A109" s="2" t="s">
        <v>21</v>
      </c>
      <c r="B109" s="3">
        <f>14498840</f>
        <v>14498840</v>
      </c>
      <c r="C109" s="3">
        <f>3000000</f>
        <v>3000000</v>
      </c>
      <c r="D109" s="3">
        <f>4500000</f>
        <v>4500000</v>
      </c>
      <c r="E109" s="3">
        <f>(14498840+3000000+4500000)</f>
        <v>21998840</v>
      </c>
    </row>
    <row r="110" spans="1:15" ht="14" x14ac:dyDescent="0.3">
      <c r="A110" s="2" t="s">
        <v>22</v>
      </c>
      <c r="B110" s="3">
        <f>4400279</f>
        <v>4400279</v>
      </c>
      <c r="C110" s="3">
        <f>2714287</f>
        <v>2714287</v>
      </c>
      <c r="D110" s="3">
        <f>8885434</f>
        <v>8885434</v>
      </c>
      <c r="E110" s="3">
        <f>(4400279+2714287+8885434)</f>
        <v>16000000</v>
      </c>
    </row>
    <row r="111" spans="1:15" ht="14" x14ac:dyDescent="0.3">
      <c r="A111" s="2" t="s">
        <v>23</v>
      </c>
      <c r="B111" s="3">
        <f>10141091</f>
        <v>10141091</v>
      </c>
      <c r="C111" s="3">
        <f>0</f>
        <v>0</v>
      </c>
      <c r="D111" s="3">
        <f>0</f>
        <v>0</v>
      </c>
      <c r="E111" s="3">
        <f>(10141091+0+0)</f>
        <v>10141091</v>
      </c>
    </row>
    <row r="112" spans="1:15" ht="14" x14ac:dyDescent="0.3">
      <c r="A112" s="2" t="s">
        <v>24</v>
      </c>
      <c r="B112" s="3">
        <f>6754027</f>
        <v>6754027</v>
      </c>
      <c r="C112" s="3">
        <f>0</f>
        <v>0</v>
      </c>
      <c r="D112" s="3">
        <f>3614323</f>
        <v>3614323</v>
      </c>
      <c r="E112" s="3">
        <f>(6754027+0+3614323)</f>
        <v>10368350</v>
      </c>
    </row>
    <row r="113" spans="1:15" ht="14" x14ac:dyDescent="0.3">
      <c r="A113" s="2" t="s">
        <v>25</v>
      </c>
      <c r="B113" s="3">
        <f>10330166</f>
        <v>10330166</v>
      </c>
      <c r="C113" s="3">
        <f>0</f>
        <v>0</v>
      </c>
      <c r="D113" s="3">
        <f>0</f>
        <v>0</v>
      </c>
      <c r="E113" s="3">
        <f>(10330166+0+0)</f>
        <v>10330166</v>
      </c>
    </row>
    <row r="114" spans="1:15" ht="14" x14ac:dyDescent="0.3">
      <c r="A114" s="2" t="s">
        <v>26</v>
      </c>
      <c r="B114" s="3">
        <f>10000730</f>
        <v>10000730</v>
      </c>
      <c r="C114" s="3">
        <f>2073778</f>
        <v>2073778</v>
      </c>
      <c r="D114" s="3">
        <f>2466003</f>
        <v>2466003</v>
      </c>
      <c r="E114" s="3">
        <f>(10000730+2073778+2466003)</f>
        <v>14540511</v>
      </c>
    </row>
    <row r="115" spans="1:15" ht="14" x14ac:dyDescent="0.3">
      <c r="A115" s="2" t="s">
        <v>27</v>
      </c>
      <c r="B115" s="3">
        <f>4316463</f>
        <v>4316463</v>
      </c>
      <c r="C115" s="3">
        <f>0</f>
        <v>0</v>
      </c>
      <c r="D115" s="3">
        <f>6658658</f>
        <v>6658658</v>
      </c>
      <c r="E115" s="3">
        <f>(4316463+0+6658658)</f>
        <v>10975121</v>
      </c>
    </row>
    <row r="116" spans="1:15" ht="14" x14ac:dyDescent="0.3">
      <c r="A116" s="2" t="s">
        <v>28</v>
      </c>
      <c r="B116" s="3">
        <f>6800000</f>
        <v>6800000</v>
      </c>
      <c r="C116" s="3">
        <f>2700000</f>
        <v>2700000</v>
      </c>
      <c r="D116" s="3">
        <f>2500000</f>
        <v>2500000</v>
      </c>
      <c r="E116" s="3">
        <f>(6800000+2700000+2500000)</f>
        <v>12000000</v>
      </c>
    </row>
    <row r="117" spans="1:15" ht="14" x14ac:dyDescent="0.3">
      <c r="A117" s="2" t="s">
        <v>29</v>
      </c>
      <c r="B117" s="3">
        <f>8029149</f>
        <v>8029149</v>
      </c>
      <c r="C117" s="3">
        <f>3177401</f>
        <v>3177401</v>
      </c>
      <c r="D117" s="3">
        <f>2446346</f>
        <v>2446346</v>
      </c>
      <c r="E117" s="3">
        <f>(8029149+3177401+2446346)</f>
        <v>13652896</v>
      </c>
    </row>
    <row r="118" spans="1:15" ht="14" x14ac:dyDescent="0.3">
      <c r="A118" s="2" t="s">
        <v>30</v>
      </c>
      <c r="B118" s="3">
        <f>8025046</f>
        <v>8025046</v>
      </c>
      <c r="C118" s="3">
        <f>1000000</f>
        <v>1000000</v>
      </c>
      <c r="D118" s="3">
        <f>2000000</f>
        <v>2000000</v>
      </c>
      <c r="E118" s="3">
        <f>(8025046+1000000+2000000)</f>
        <v>11025046</v>
      </c>
    </row>
    <row r="119" spans="1:15" ht="14" x14ac:dyDescent="0.3">
      <c r="A119" s="2" t="s">
        <v>31</v>
      </c>
      <c r="B119" s="3">
        <f>4000000</f>
        <v>4000000</v>
      </c>
      <c r="C119" s="3">
        <f>1000000</f>
        <v>1000000</v>
      </c>
      <c r="D119" s="3">
        <f>9000000</f>
        <v>9000000</v>
      </c>
      <c r="E119" s="3">
        <f>(4000000+1000000+9000000)</f>
        <v>14000000</v>
      </c>
    </row>
    <row r="120" spans="1:15" ht="14" x14ac:dyDescent="0.3">
      <c r="A120" s="2" t="s">
        <v>32</v>
      </c>
      <c r="B120" s="3">
        <f>5231385</f>
        <v>5231385</v>
      </c>
      <c r="C120" s="3">
        <f>14765831</f>
        <v>14765831</v>
      </c>
      <c r="D120" s="3">
        <f>3908146</f>
        <v>3908146</v>
      </c>
      <c r="E120" s="3">
        <f>(5231385+14765831+3908146)</f>
        <v>23905362</v>
      </c>
    </row>
    <row r="121" spans="1:15" ht="14" x14ac:dyDescent="0.3">
      <c r="A121" s="5" t="s">
        <v>54</v>
      </c>
      <c r="B121" s="5"/>
      <c r="C121" s="5"/>
      <c r="D121" s="5"/>
      <c r="E121" s="5"/>
      <c r="F121" s="5"/>
      <c r="G121" s="5"/>
      <c r="H121" s="5"/>
      <c r="I121" s="5"/>
      <c r="J121" s="5"/>
      <c r="K121" s="5"/>
      <c r="L121" s="5"/>
      <c r="M121" s="5"/>
      <c r="N121" s="5"/>
      <c r="O121" s="5"/>
    </row>
    <row r="122" spans="1:15" ht="14" x14ac:dyDescent="0.3">
      <c r="A122" s="4" t="s">
        <v>1</v>
      </c>
      <c r="B122" s="1" t="s">
        <v>50</v>
      </c>
      <c r="C122" s="1" t="s">
        <v>51</v>
      </c>
      <c r="D122" s="1" t="s">
        <v>52</v>
      </c>
      <c r="E122" s="1" t="s">
        <v>53</v>
      </c>
    </row>
    <row r="123" spans="1:15" ht="14" x14ac:dyDescent="0.3">
      <c r="A123" s="4"/>
      <c r="B123" s="1">
        <v>2023</v>
      </c>
      <c r="C123" s="1">
        <v>2023</v>
      </c>
      <c r="D123" s="1">
        <v>2023</v>
      </c>
      <c r="E123" s="1">
        <v>2023</v>
      </c>
    </row>
    <row r="124" spans="1:15" ht="14" x14ac:dyDescent="0.3">
      <c r="A124" s="2" t="s">
        <v>16</v>
      </c>
      <c r="B124" s="3">
        <f>101370511</f>
        <v>101370511</v>
      </c>
      <c r="C124" s="3">
        <f>8759907</f>
        <v>8759907</v>
      </c>
      <c r="D124" s="3">
        <f>9722309</f>
        <v>9722309</v>
      </c>
      <c r="E124" s="3">
        <f>(101370511+8759907+9722309)</f>
        <v>119852727</v>
      </c>
    </row>
    <row r="125" spans="1:15" ht="14" x14ac:dyDescent="0.3">
      <c r="A125" s="2" t="s">
        <v>17</v>
      </c>
      <c r="B125" s="3">
        <f>6862670</f>
        <v>6862670</v>
      </c>
      <c r="C125" s="3">
        <f>30750457</f>
        <v>30750457</v>
      </c>
      <c r="D125" s="3">
        <f>7022766</f>
        <v>7022766</v>
      </c>
      <c r="E125" s="3">
        <f>(6862670+30750457+7022766)</f>
        <v>44635893</v>
      </c>
    </row>
    <row r="126" spans="1:15" ht="14" x14ac:dyDescent="0.3">
      <c r="A126" s="2" t="s">
        <v>18</v>
      </c>
      <c r="B126" s="3">
        <f>66145997</f>
        <v>66145997</v>
      </c>
      <c r="C126" s="3">
        <f>6942455</f>
        <v>6942455</v>
      </c>
      <c r="D126" s="3">
        <f>5352437</f>
        <v>5352437</v>
      </c>
      <c r="E126" s="3">
        <f>(66145997+6942455+5352437)</f>
        <v>78440889</v>
      </c>
    </row>
    <row r="127" spans="1:15" ht="14" x14ac:dyDescent="0.3">
      <c r="A127" s="2" t="s">
        <v>19</v>
      </c>
      <c r="B127" s="3">
        <f>53970955</f>
        <v>53970955</v>
      </c>
      <c r="C127" s="3">
        <f>0</f>
        <v>0</v>
      </c>
      <c r="D127" s="3">
        <f>6901918</f>
        <v>6901918</v>
      </c>
      <c r="E127" s="3">
        <f>(53970955+0+6901918)</f>
        <v>60872873</v>
      </c>
    </row>
    <row r="128" spans="1:15" ht="14" x14ac:dyDescent="0.3">
      <c r="A128" s="2" t="s">
        <v>20</v>
      </c>
      <c r="B128" s="3">
        <f>139818274</f>
        <v>139818274</v>
      </c>
      <c r="C128" s="3">
        <f>8985081</f>
        <v>8985081</v>
      </c>
      <c r="D128" s="3">
        <f>129064268</f>
        <v>129064268</v>
      </c>
      <c r="E128" s="3">
        <f>(139818274+8985081+129064268)</f>
        <v>277867623</v>
      </c>
    </row>
    <row r="129" spans="1:15" ht="14" x14ac:dyDescent="0.3">
      <c r="A129" s="2" t="s">
        <v>21</v>
      </c>
      <c r="B129" s="3">
        <f>121879680</f>
        <v>121879680</v>
      </c>
      <c r="C129" s="3">
        <f>12144794</f>
        <v>12144794</v>
      </c>
      <c r="D129" s="3">
        <f>20462502</f>
        <v>20462502</v>
      </c>
      <c r="E129" s="3">
        <f>(121879680+12144794+20462502)</f>
        <v>154486976</v>
      </c>
    </row>
    <row r="130" spans="1:15" ht="14" x14ac:dyDescent="0.3">
      <c r="A130" s="2" t="s">
        <v>22</v>
      </c>
      <c r="B130" s="3">
        <f>17276364</f>
        <v>17276364</v>
      </c>
      <c r="C130" s="3">
        <f>34914307</f>
        <v>34914307</v>
      </c>
      <c r="D130" s="3">
        <f>10228840</f>
        <v>10228840</v>
      </c>
      <c r="E130" s="3">
        <f>(17276364+34914307+10228840)</f>
        <v>62419511</v>
      </c>
    </row>
    <row r="131" spans="1:15" ht="14" x14ac:dyDescent="0.3">
      <c r="A131" s="2" t="s">
        <v>23</v>
      </c>
      <c r="B131" s="3">
        <f>15398141</f>
        <v>15398141</v>
      </c>
      <c r="C131" s="3">
        <f>0</f>
        <v>0</v>
      </c>
      <c r="D131" s="3">
        <f>0</f>
        <v>0</v>
      </c>
      <c r="E131" s="3">
        <f>(15398141+0+0)</f>
        <v>15398141</v>
      </c>
    </row>
    <row r="132" spans="1:15" ht="14" x14ac:dyDescent="0.3">
      <c r="A132" s="2" t="s">
        <v>24</v>
      </c>
      <c r="B132" s="3">
        <f>9586074</f>
        <v>9586074</v>
      </c>
      <c r="C132" s="3">
        <f>0</f>
        <v>0</v>
      </c>
      <c r="D132" s="3">
        <f>4451405</f>
        <v>4451405</v>
      </c>
      <c r="E132" s="3">
        <f>(9586074+0+4451405)</f>
        <v>14037479</v>
      </c>
    </row>
    <row r="133" spans="1:15" ht="14" x14ac:dyDescent="0.3">
      <c r="A133" s="2" t="s">
        <v>25</v>
      </c>
      <c r="B133" s="3">
        <f>51504410</f>
        <v>51504410</v>
      </c>
      <c r="C133" s="3">
        <f>17539724</f>
        <v>17539724</v>
      </c>
      <c r="D133" s="3">
        <f>4825835</f>
        <v>4825835</v>
      </c>
      <c r="E133" s="3">
        <f>(51504410+17539724+4825835)</f>
        <v>73869969</v>
      </c>
    </row>
    <row r="134" spans="1:15" ht="14" x14ac:dyDescent="0.3">
      <c r="A134" s="2" t="s">
        <v>26</v>
      </c>
      <c r="B134" s="3">
        <f>14865526</f>
        <v>14865526</v>
      </c>
      <c r="C134" s="3">
        <f>3341745</f>
        <v>3341745</v>
      </c>
      <c r="D134" s="3">
        <f>3551054</f>
        <v>3551054</v>
      </c>
      <c r="E134" s="3">
        <f>(14865526+3341745+3551054)</f>
        <v>21758325</v>
      </c>
    </row>
    <row r="135" spans="1:15" ht="14" x14ac:dyDescent="0.3">
      <c r="A135" s="2" t="s">
        <v>27</v>
      </c>
      <c r="B135" s="3">
        <f>4783000</f>
        <v>4783000</v>
      </c>
      <c r="C135" s="3">
        <f>0</f>
        <v>0</v>
      </c>
      <c r="D135" s="3">
        <f>9517279</f>
        <v>9517279</v>
      </c>
      <c r="E135" s="3">
        <f>(4783000+0+9517279)</f>
        <v>14300279</v>
      </c>
    </row>
    <row r="136" spans="1:15" ht="14" x14ac:dyDescent="0.3">
      <c r="A136" s="2" t="s">
        <v>28</v>
      </c>
      <c r="B136" s="3">
        <f>138827645</f>
        <v>138827645</v>
      </c>
      <c r="C136" s="3">
        <f>20186410</f>
        <v>20186410</v>
      </c>
      <c r="D136" s="3">
        <f>6175186</f>
        <v>6175186</v>
      </c>
      <c r="E136" s="3">
        <f>(138827645+20186410+6175186)</f>
        <v>165189241</v>
      </c>
    </row>
    <row r="137" spans="1:15" ht="14" x14ac:dyDescent="0.3">
      <c r="A137" s="2" t="s">
        <v>29</v>
      </c>
      <c r="B137" s="3">
        <f>21954700</f>
        <v>21954700</v>
      </c>
      <c r="C137" s="3">
        <f>5879743</f>
        <v>5879743</v>
      </c>
      <c r="D137" s="3">
        <f>4995513</f>
        <v>4995513</v>
      </c>
      <c r="E137" s="3">
        <f>(21954700+5879743+4995513)</f>
        <v>32829956</v>
      </c>
    </row>
    <row r="138" spans="1:15" ht="14" x14ac:dyDescent="0.3">
      <c r="A138" s="2" t="s">
        <v>30</v>
      </c>
      <c r="B138" s="3">
        <f>37180772</f>
        <v>37180772</v>
      </c>
      <c r="C138" s="3">
        <f>6386986</f>
        <v>6386986</v>
      </c>
      <c r="D138" s="3">
        <f>4965812</f>
        <v>4965812</v>
      </c>
      <c r="E138" s="3">
        <f>(37180772+6386986+4965812)</f>
        <v>48533570</v>
      </c>
    </row>
    <row r="139" spans="1:15" ht="14" x14ac:dyDescent="0.3">
      <c r="A139" s="2" t="s">
        <v>31</v>
      </c>
      <c r="B139" s="3">
        <f>124150073</f>
        <v>124150073</v>
      </c>
      <c r="C139" s="3">
        <f>16107305</f>
        <v>16107305</v>
      </c>
      <c r="D139" s="3">
        <f>60777196</f>
        <v>60777196</v>
      </c>
      <c r="E139" s="3">
        <f>(124150073+16107305+60777196)</f>
        <v>201034574</v>
      </c>
    </row>
    <row r="140" spans="1:15" ht="14" x14ac:dyDescent="0.3">
      <c r="A140" s="2" t="s">
        <v>32</v>
      </c>
      <c r="B140" s="3">
        <f>30114891</f>
        <v>30114891</v>
      </c>
      <c r="C140" s="3">
        <f>61868645</f>
        <v>61868645</v>
      </c>
      <c r="D140" s="3">
        <f>7345487</f>
        <v>7345487</v>
      </c>
      <c r="E140" s="3">
        <f>(30114891+61868645+7345487)</f>
        <v>99329023</v>
      </c>
    </row>
    <row r="141" spans="1:15" ht="14" x14ac:dyDescent="0.3">
      <c r="A141" s="5" t="s">
        <v>55</v>
      </c>
      <c r="B141" s="5"/>
      <c r="C141" s="5"/>
      <c r="D141" s="5"/>
      <c r="E141" s="5"/>
      <c r="F141" s="5"/>
      <c r="G141" s="5"/>
      <c r="H141" s="5"/>
      <c r="I141" s="5"/>
      <c r="J141" s="5"/>
      <c r="K141" s="5"/>
      <c r="L141" s="5"/>
      <c r="M141" s="5"/>
      <c r="N141" s="5"/>
      <c r="O141" s="5"/>
    </row>
    <row r="142" spans="1:15" ht="14" x14ac:dyDescent="0.3">
      <c r="A142" s="4" t="s">
        <v>1</v>
      </c>
      <c r="B142" s="1" t="s">
        <v>50</v>
      </c>
      <c r="C142" s="1" t="s">
        <v>51</v>
      </c>
      <c r="D142" s="1" t="s">
        <v>52</v>
      </c>
      <c r="E142" s="1" t="s">
        <v>53</v>
      </c>
    </row>
    <row r="143" spans="1:15" ht="14" x14ac:dyDescent="0.3">
      <c r="A143" s="4"/>
      <c r="B143" s="1">
        <v>2023</v>
      </c>
      <c r="C143" s="1">
        <v>2023</v>
      </c>
      <c r="D143" s="1">
        <v>2023</v>
      </c>
      <c r="E143" s="1">
        <v>2023</v>
      </c>
    </row>
    <row r="144" spans="1:15" ht="14" x14ac:dyDescent="0.3">
      <c r="A144" s="2" t="s">
        <v>16</v>
      </c>
      <c r="B144" s="3">
        <f>101370511</f>
        <v>101370511</v>
      </c>
      <c r="C144" s="3">
        <f>8759907</f>
        <v>8759907</v>
      </c>
      <c r="D144" s="3">
        <f>9722309</f>
        <v>9722309</v>
      </c>
      <c r="E144" s="3">
        <f>(101370511+8759907+9722309)</f>
        <v>119852727</v>
      </c>
    </row>
    <row r="145" spans="1:5" ht="14" x14ac:dyDescent="0.3">
      <c r="A145" s="2" t="s">
        <v>17</v>
      </c>
      <c r="B145" s="3">
        <f>6862670</f>
        <v>6862670</v>
      </c>
      <c r="C145" s="3">
        <f>30750457</f>
        <v>30750457</v>
      </c>
      <c r="D145" s="3">
        <f>7022766</f>
        <v>7022766</v>
      </c>
      <c r="E145" s="3">
        <f>(6862670+30750457+7022766)</f>
        <v>44635893</v>
      </c>
    </row>
    <row r="146" spans="1:5" ht="14" x14ac:dyDescent="0.3">
      <c r="A146" s="2" t="s">
        <v>18</v>
      </c>
      <c r="B146" s="3">
        <f>66145997</f>
        <v>66145997</v>
      </c>
      <c r="C146" s="3">
        <f>6942455</f>
        <v>6942455</v>
      </c>
      <c r="D146" s="3">
        <f>5352437</f>
        <v>5352437</v>
      </c>
      <c r="E146" s="3">
        <f>(66145997+6942455+5352437)</f>
        <v>78440889</v>
      </c>
    </row>
    <row r="147" spans="1:5" ht="14" x14ac:dyDescent="0.3">
      <c r="A147" s="2" t="s">
        <v>19</v>
      </c>
      <c r="B147" s="3">
        <f>53970955</f>
        <v>53970955</v>
      </c>
      <c r="C147" s="3">
        <f>0</f>
        <v>0</v>
      </c>
      <c r="D147" s="3">
        <f>6901918</f>
        <v>6901918</v>
      </c>
      <c r="E147" s="3">
        <f>(53970955+0+6901918)</f>
        <v>60872873</v>
      </c>
    </row>
    <row r="148" spans="1:5" ht="14" x14ac:dyDescent="0.3">
      <c r="A148" s="2" t="s">
        <v>20</v>
      </c>
      <c r="B148" s="3">
        <f>139818274</f>
        <v>139818274</v>
      </c>
      <c r="C148" s="3">
        <f>8985081</f>
        <v>8985081</v>
      </c>
      <c r="D148" s="3">
        <f>129064268</f>
        <v>129064268</v>
      </c>
      <c r="E148" s="3">
        <f>(139818274+8985081+129064268)</f>
        <v>277867623</v>
      </c>
    </row>
    <row r="149" spans="1:5" ht="14" x14ac:dyDescent="0.3">
      <c r="A149" s="2" t="s">
        <v>21</v>
      </c>
      <c r="B149" s="3">
        <f>121879680</f>
        <v>121879680</v>
      </c>
      <c r="C149" s="3">
        <f>12144794</f>
        <v>12144794</v>
      </c>
      <c r="D149" s="3">
        <f>20462502</f>
        <v>20462502</v>
      </c>
      <c r="E149" s="3">
        <f>(121879680+12144794+20462502)</f>
        <v>154486976</v>
      </c>
    </row>
    <row r="150" spans="1:5" ht="14" x14ac:dyDescent="0.3">
      <c r="A150" s="2" t="s">
        <v>22</v>
      </c>
      <c r="B150" s="3">
        <f>15992992</f>
        <v>15992992</v>
      </c>
      <c r="C150" s="3">
        <f>26842117</f>
        <v>26842117</v>
      </c>
      <c r="D150" s="3">
        <f>10157085</f>
        <v>10157085</v>
      </c>
      <c r="E150" s="3">
        <f>(15992992+26842117+10157085)</f>
        <v>52992194</v>
      </c>
    </row>
    <row r="151" spans="1:5" ht="14" x14ac:dyDescent="0.3">
      <c r="A151" s="2" t="s">
        <v>23</v>
      </c>
      <c r="B151" s="3">
        <f>15398141</f>
        <v>15398141</v>
      </c>
      <c r="C151" s="3">
        <f>0</f>
        <v>0</v>
      </c>
      <c r="D151" s="3">
        <f>0</f>
        <v>0</v>
      </c>
      <c r="E151" s="3">
        <f>(15398141+0+0)</f>
        <v>15398141</v>
      </c>
    </row>
    <row r="152" spans="1:5" ht="14" x14ac:dyDescent="0.3">
      <c r="A152" s="2" t="s">
        <v>24</v>
      </c>
      <c r="B152" s="3">
        <f>9586074</f>
        <v>9586074</v>
      </c>
      <c r="C152" s="3">
        <f>0</f>
        <v>0</v>
      </c>
      <c r="D152" s="3">
        <f>4451405</f>
        <v>4451405</v>
      </c>
      <c r="E152" s="3">
        <f>(9586074+0+4451405)</f>
        <v>14037479</v>
      </c>
    </row>
    <row r="153" spans="1:5" ht="14" x14ac:dyDescent="0.3">
      <c r="A153" s="2" t="s">
        <v>25</v>
      </c>
      <c r="B153" s="3">
        <f>51504410</f>
        <v>51504410</v>
      </c>
      <c r="C153" s="3">
        <f>17539724</f>
        <v>17539724</v>
      </c>
      <c r="D153" s="3">
        <f>4825835</f>
        <v>4825835</v>
      </c>
      <c r="E153" s="3">
        <f>(51504410+17539724+4825835)</f>
        <v>73869969</v>
      </c>
    </row>
    <row r="154" spans="1:5" ht="14" x14ac:dyDescent="0.3">
      <c r="A154" s="2" t="s">
        <v>26</v>
      </c>
      <c r="B154" s="3">
        <f>14865526</f>
        <v>14865526</v>
      </c>
      <c r="C154" s="3">
        <f>3341745</f>
        <v>3341745</v>
      </c>
      <c r="D154" s="3">
        <f>3551054</f>
        <v>3551054</v>
      </c>
      <c r="E154" s="3">
        <f>(14865526+3341745+3551054)</f>
        <v>21758325</v>
      </c>
    </row>
    <row r="155" spans="1:5" ht="14" x14ac:dyDescent="0.3">
      <c r="A155" s="2" t="s">
        <v>27</v>
      </c>
      <c r="B155" s="3">
        <f>4783000</f>
        <v>4783000</v>
      </c>
      <c r="C155" s="3">
        <f>0</f>
        <v>0</v>
      </c>
      <c r="D155" s="3">
        <f>9517279</f>
        <v>9517279</v>
      </c>
      <c r="E155" s="3">
        <f>(4783000+0+9517279)</f>
        <v>14300279</v>
      </c>
    </row>
    <row r="156" spans="1:5" ht="14" x14ac:dyDescent="0.3">
      <c r="A156" s="2" t="s">
        <v>28</v>
      </c>
      <c r="B156" s="3">
        <f>138827645</f>
        <v>138827645</v>
      </c>
      <c r="C156" s="3">
        <f>20186410</f>
        <v>20186410</v>
      </c>
      <c r="D156" s="3">
        <f>6175186</f>
        <v>6175186</v>
      </c>
      <c r="E156" s="3">
        <f>(138827645+20186410+6175186)</f>
        <v>165189241</v>
      </c>
    </row>
    <row r="157" spans="1:5" ht="14" x14ac:dyDescent="0.3">
      <c r="A157" s="2" t="s">
        <v>29</v>
      </c>
      <c r="B157" s="3">
        <f>21954700</f>
        <v>21954700</v>
      </c>
      <c r="C157" s="3">
        <f>5879743</f>
        <v>5879743</v>
      </c>
      <c r="D157" s="3">
        <f>4995513</f>
        <v>4995513</v>
      </c>
      <c r="E157" s="3">
        <f>(21954700+5879743+4995513)</f>
        <v>32829956</v>
      </c>
    </row>
    <row r="158" spans="1:5" ht="14" x14ac:dyDescent="0.3">
      <c r="A158" s="2" t="s">
        <v>30</v>
      </c>
      <c r="B158" s="3">
        <f>37180772</f>
        <v>37180772</v>
      </c>
      <c r="C158" s="3">
        <f>6386986</f>
        <v>6386986</v>
      </c>
      <c r="D158" s="3">
        <f>4965812</f>
        <v>4965812</v>
      </c>
      <c r="E158" s="3">
        <f>(37180772+6386986+4965812)</f>
        <v>48533570</v>
      </c>
    </row>
    <row r="159" spans="1:5" ht="14" x14ac:dyDescent="0.3">
      <c r="A159" s="2" t="s">
        <v>31</v>
      </c>
      <c r="B159" s="3">
        <f>124150073</f>
        <v>124150073</v>
      </c>
      <c r="C159" s="3">
        <f>16107305</f>
        <v>16107305</v>
      </c>
      <c r="D159" s="3">
        <f>60777196</f>
        <v>60777196</v>
      </c>
      <c r="E159" s="3">
        <f>(124150073+16107305+60777196)</f>
        <v>201034574</v>
      </c>
    </row>
    <row r="160" spans="1:5" ht="14" x14ac:dyDescent="0.3">
      <c r="A160" s="2" t="s">
        <v>32</v>
      </c>
      <c r="B160" s="3">
        <f>30114891</f>
        <v>30114891</v>
      </c>
      <c r="C160" s="3">
        <f>61868645</f>
        <v>61868645</v>
      </c>
      <c r="D160" s="3">
        <f>7345487</f>
        <v>7345487</v>
      </c>
      <c r="E160" s="3">
        <f>(30114891+61868645+7345487)</f>
        <v>99329023</v>
      </c>
    </row>
    <row r="161" spans="1:15" ht="14" x14ac:dyDescent="0.3">
      <c r="A161" s="5" t="s">
        <v>56</v>
      </c>
      <c r="B161" s="5"/>
      <c r="C161" s="5"/>
      <c r="D161" s="5"/>
      <c r="E161" s="5"/>
      <c r="F161" s="5"/>
      <c r="G161" s="5"/>
      <c r="H161" s="5"/>
      <c r="I161" s="5"/>
      <c r="J161" s="5"/>
      <c r="K161" s="5"/>
      <c r="L161" s="5"/>
      <c r="M161" s="5"/>
      <c r="N161" s="5"/>
      <c r="O161" s="5"/>
    </row>
    <row r="162" spans="1:15" ht="14" x14ac:dyDescent="0.3">
      <c r="A162" s="4" t="s">
        <v>1</v>
      </c>
      <c r="B162" s="1" t="s">
        <v>57</v>
      </c>
    </row>
    <row r="163" spans="1:15" ht="14" x14ac:dyDescent="0.3">
      <c r="A163" s="4"/>
      <c r="B163" s="1">
        <v>2023</v>
      </c>
    </row>
    <row r="164" spans="1:15" ht="14" x14ac:dyDescent="0.3">
      <c r="A164" s="2" t="s">
        <v>16</v>
      </c>
      <c r="B164" s="3">
        <f>1430347</f>
        <v>1430347</v>
      </c>
    </row>
    <row r="165" spans="1:15" ht="14" x14ac:dyDescent="0.3">
      <c r="A165" s="2" t="s">
        <v>17</v>
      </c>
      <c r="B165" s="3">
        <f>1142079</f>
        <v>1142079</v>
      </c>
    </row>
    <row r="166" spans="1:15" ht="14" x14ac:dyDescent="0.3">
      <c r="A166" s="2" t="s">
        <v>18</v>
      </c>
      <c r="B166" s="3">
        <f>1280605</f>
        <v>1280605</v>
      </c>
    </row>
    <row r="167" spans="1:15" ht="14" x14ac:dyDescent="0.3">
      <c r="A167" s="2" t="s">
        <v>19</v>
      </c>
      <c r="B167" s="3">
        <f>1188251</f>
        <v>1188251</v>
      </c>
    </row>
    <row r="168" spans="1:15" ht="14" x14ac:dyDescent="0.3">
      <c r="A168" s="2" t="s">
        <v>20</v>
      </c>
      <c r="B168" s="3">
        <f>1222079</f>
        <v>1222079</v>
      </c>
    </row>
    <row r="169" spans="1:15" ht="14" x14ac:dyDescent="0.3">
      <c r="A169" s="2" t="s">
        <v>21</v>
      </c>
      <c r="B169" s="3">
        <f>4865765</f>
        <v>4865765</v>
      </c>
    </row>
    <row r="170" spans="1:15" ht="14" x14ac:dyDescent="0.3">
      <c r="A170" s="2" t="s">
        <v>22</v>
      </c>
      <c r="B170" s="3">
        <f>612041</f>
        <v>612041</v>
      </c>
    </row>
    <row r="171" spans="1:15" ht="14" x14ac:dyDescent="0.3">
      <c r="A171" s="2" t="s">
        <v>23</v>
      </c>
      <c r="B171" s="3">
        <f>88569</f>
        <v>88569</v>
      </c>
    </row>
    <row r="172" spans="1:15" ht="14" x14ac:dyDescent="0.3">
      <c r="A172" s="2" t="s">
        <v>24</v>
      </c>
      <c r="B172" s="3">
        <f>(-438149)</f>
        <v>-438149</v>
      </c>
    </row>
    <row r="173" spans="1:15" ht="14" x14ac:dyDescent="0.3">
      <c r="A173" s="2" t="s">
        <v>25</v>
      </c>
      <c r="B173" s="3">
        <f>933082</f>
        <v>933082</v>
      </c>
    </row>
    <row r="174" spans="1:15" ht="14" x14ac:dyDescent="0.3">
      <c r="A174" s="2" t="s">
        <v>26</v>
      </c>
      <c r="B174" s="3">
        <f>1207665</f>
        <v>1207665</v>
      </c>
    </row>
    <row r="175" spans="1:15" ht="14" x14ac:dyDescent="0.3">
      <c r="A175" s="2" t="s">
        <v>27</v>
      </c>
      <c r="B175" s="3">
        <f>1665909</f>
        <v>1665909</v>
      </c>
    </row>
    <row r="176" spans="1:15" ht="14" x14ac:dyDescent="0.3">
      <c r="A176" s="2" t="s">
        <v>28</v>
      </c>
      <c r="B176" s="3">
        <f>6428633</f>
        <v>6428633</v>
      </c>
    </row>
    <row r="177" spans="1:2" ht="14" x14ac:dyDescent="0.3">
      <c r="A177" s="2" t="s">
        <v>29</v>
      </c>
      <c r="B177" s="3">
        <f>506607</f>
        <v>506607</v>
      </c>
    </row>
    <row r="178" spans="1:2" ht="14" x14ac:dyDescent="0.3">
      <c r="A178" s="2" t="s">
        <v>30</v>
      </c>
      <c r="B178" s="3">
        <f>(-163230)</f>
        <v>-163230</v>
      </c>
    </row>
    <row r="179" spans="1:2" ht="14" x14ac:dyDescent="0.3">
      <c r="A179" s="2" t="s">
        <v>31</v>
      </c>
      <c r="B179" s="3">
        <f>(-108544)</f>
        <v>-108544</v>
      </c>
    </row>
    <row r="180" spans="1:2" ht="14" x14ac:dyDescent="0.3">
      <c r="A180" s="2" t="s">
        <v>32</v>
      </c>
      <c r="B180" s="3">
        <f>4002994</f>
        <v>4002994</v>
      </c>
    </row>
  </sheetData>
  <mergeCells count="18">
    <mergeCell ref="A141:O141"/>
    <mergeCell ref="A161:O161"/>
    <mergeCell ref="A122:A123"/>
    <mergeCell ref="A142:A143"/>
    <mergeCell ref="A162:A163"/>
    <mergeCell ref="A1:O1"/>
    <mergeCell ref="A21:O21"/>
    <mergeCell ref="A41:O41"/>
    <mergeCell ref="A61:O61"/>
    <mergeCell ref="A81:O81"/>
    <mergeCell ref="A101:O101"/>
    <mergeCell ref="A121:O12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 </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2025-05-28T06:24:43Z</dcterms:created>
  <dcterms:modified xsi:type="dcterms:W3CDTF">2025-05-28T06:24:53Z</dcterms:modified>
</cp:coreProperties>
</file>